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fileSharing readOnlyRecommended="1"/>
  <workbookPr defaultThemeVersion="166925"/>
  <mc:AlternateContent xmlns:mc="http://schemas.openxmlformats.org/markup-compatibility/2006">
    <mc:Choice Requires="x15">
      <x15ac:absPath xmlns:x15ac="http://schemas.microsoft.com/office/spreadsheetml/2010/11/ac" url="T:\admin.grp\~TRACEY'S FILES\~1 HR TA and FUNDING MODEL\~NewFundingmodel\2024 Funding Model\"/>
    </mc:Choice>
  </mc:AlternateContent>
  <xr:revisionPtr revIDLastSave="0" documentId="8_{858D5DDC-C354-4986-8DE4-0B1768F0FC82}" xr6:coauthVersionLast="36" xr6:coauthVersionMax="36" xr10:uidLastSave="{00000000-0000-0000-0000-000000000000}"/>
  <bookViews>
    <workbookView xWindow="0" yWindow="0" windowWidth="2376" windowHeight="0" xr2:uid="{00000000-000D-0000-FFFF-FFFF00000000}"/>
  </bookViews>
  <sheets>
    <sheet name="Funding Calculator FALL 2022"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K55" i="1" l="1"/>
  <c r="K53" i="1"/>
  <c r="K52" i="1"/>
  <c r="K51" i="1"/>
  <c r="K49" i="1"/>
  <c r="K48" i="1"/>
  <c r="K47" i="1"/>
  <c r="K46" i="1"/>
  <c r="K44" i="1"/>
  <c r="K43" i="1"/>
  <c r="K42" i="1"/>
  <c r="K40" i="1"/>
  <c r="K39" i="1"/>
  <c r="K38" i="1"/>
  <c r="K36" i="1"/>
  <c r="K35" i="1"/>
  <c r="K34" i="1"/>
  <c r="K32" i="1"/>
  <c r="K31" i="1"/>
  <c r="K30" i="1"/>
  <c r="K29" i="1"/>
  <c r="K27" i="1"/>
  <c r="K26" i="1"/>
  <c r="K25" i="1"/>
  <c r="K23" i="1"/>
  <c r="K14" i="1"/>
  <c r="K22" i="1"/>
  <c r="K21" i="1"/>
  <c r="K5" i="1"/>
  <c r="K16" i="1"/>
  <c r="K15" i="1"/>
  <c r="K13" i="1"/>
  <c r="K11" i="1"/>
  <c r="K10" i="1"/>
  <c r="K8" i="1"/>
  <c r="K3" i="1"/>
  <c r="J3" i="1"/>
  <c r="I53" i="1"/>
  <c r="I52" i="1"/>
  <c r="I51" i="1"/>
  <c r="I47" i="1"/>
  <c r="I49" i="1"/>
  <c r="I48" i="1"/>
  <c r="I46" i="1"/>
  <c r="I44" i="1"/>
  <c r="I43" i="1"/>
  <c r="I42" i="1"/>
  <c r="I40" i="1"/>
  <c r="I39" i="1"/>
  <c r="I38" i="1"/>
  <c r="I36" i="1"/>
  <c r="I35" i="1"/>
  <c r="I34" i="1"/>
  <c r="I31" i="1"/>
  <c r="I32" i="1"/>
  <c r="I30" i="1"/>
  <c r="I29" i="1"/>
  <c r="I27" i="1"/>
  <c r="I26" i="1"/>
  <c r="I25" i="1"/>
  <c r="I22" i="1"/>
  <c r="I23" i="1"/>
  <c r="I21" i="1"/>
  <c r="H21" i="1"/>
  <c r="N56" i="1"/>
  <c r="I56" i="1"/>
  <c r="C49" i="1"/>
  <c r="C48" i="1"/>
  <c r="G49" i="1"/>
  <c r="F49" i="1"/>
  <c r="F56" i="1"/>
  <c r="F32" i="1"/>
  <c r="C32" i="1"/>
  <c r="C31" i="1"/>
  <c r="C7" i="1"/>
  <c r="G51" i="1"/>
  <c r="G56" i="1"/>
  <c r="J13" i="1"/>
  <c r="N13" i="1" s="1"/>
  <c r="J32" i="1"/>
  <c r="J31" i="1"/>
  <c r="I19" i="1"/>
  <c r="I18" i="1"/>
  <c r="I14" i="1"/>
  <c r="I13" i="1"/>
  <c r="I11" i="1"/>
  <c r="I10" i="1"/>
  <c r="I8" i="1"/>
  <c r="I7" i="1"/>
  <c r="I6" i="1"/>
  <c r="I4" i="1"/>
  <c r="I3" i="1"/>
  <c r="K7" i="1"/>
  <c r="K6" i="1"/>
  <c r="K4" i="1"/>
  <c r="G32" i="1"/>
  <c r="G34" i="1"/>
  <c r="J49" i="1"/>
  <c r="J48" i="1"/>
  <c r="G47" i="1"/>
  <c r="G42" i="1"/>
  <c r="G38" i="1"/>
  <c r="G30" i="1"/>
  <c r="G25" i="1"/>
  <c r="G21" i="1"/>
  <c r="G19" i="1"/>
  <c r="G16" i="1"/>
  <c r="G14" i="1"/>
  <c r="G11" i="1"/>
  <c r="G8" i="1"/>
  <c r="G6" i="1"/>
  <c r="G4" i="1"/>
  <c r="J7" i="1"/>
  <c r="F8" i="1"/>
  <c r="C8" i="1"/>
  <c r="N31" i="1" l="1"/>
  <c r="M31" i="1"/>
  <c r="L31" i="1"/>
  <c r="N32" i="1"/>
  <c r="M32" i="1"/>
  <c r="L32" i="1"/>
  <c r="N48" i="1"/>
  <c r="M48" i="1"/>
  <c r="L48" i="1"/>
  <c r="N49" i="1"/>
  <c r="M49" i="1"/>
  <c r="L49" i="1"/>
  <c r="J8" i="1"/>
  <c r="N7" i="1"/>
  <c r="M7" i="1"/>
  <c r="L7" i="1"/>
  <c r="N8" i="1"/>
  <c r="M8" i="1"/>
  <c r="L8" i="1"/>
  <c r="F47" i="1"/>
  <c r="F30" i="1"/>
  <c r="C44" i="1"/>
  <c r="C43" i="1"/>
  <c r="C42" i="1"/>
  <c r="C40" i="1"/>
  <c r="J40" i="1" s="1"/>
  <c r="C39" i="1"/>
  <c r="J39" i="1" s="1"/>
  <c r="C27" i="1"/>
  <c r="C26" i="1"/>
  <c r="C25" i="1"/>
  <c r="H27" i="1"/>
  <c r="H26" i="1"/>
  <c r="H25" i="1"/>
  <c r="H23" i="1"/>
  <c r="C23" i="1"/>
  <c r="H22" i="1"/>
  <c r="C22" i="1"/>
  <c r="C6" i="1"/>
  <c r="H36" i="1"/>
  <c r="E36" i="1"/>
  <c r="C36" i="1"/>
  <c r="H35" i="1"/>
  <c r="E35" i="1"/>
  <c r="C35" i="1"/>
  <c r="H34" i="1"/>
  <c r="E34" i="1"/>
  <c r="C34" i="1"/>
  <c r="H30" i="1"/>
  <c r="C30" i="1"/>
  <c r="H29" i="1"/>
  <c r="C29" i="1"/>
  <c r="C21" i="1"/>
  <c r="C47" i="1"/>
  <c r="E52" i="1"/>
  <c r="F19" i="1"/>
  <c r="F16" i="1"/>
  <c r="F14" i="1"/>
  <c r="F11" i="1"/>
  <c r="F6" i="1"/>
  <c r="F4" i="1"/>
  <c r="H4" i="1"/>
  <c r="M56" i="1"/>
  <c r="I59" i="1"/>
  <c r="K59" i="1" s="1"/>
  <c r="I58" i="1"/>
  <c r="K58" i="1" s="1"/>
  <c r="I55" i="1"/>
  <c r="H19" i="1"/>
  <c r="H18" i="1"/>
  <c r="H16" i="1"/>
  <c r="H15" i="1"/>
  <c r="H14" i="1"/>
  <c r="H13" i="1"/>
  <c r="H11" i="1"/>
  <c r="H10" i="1"/>
  <c r="H6" i="1"/>
  <c r="H5" i="1"/>
  <c r="H3" i="1"/>
  <c r="E11" i="1"/>
  <c r="E10" i="1"/>
  <c r="E53" i="1"/>
  <c r="J44" i="1" l="1"/>
  <c r="J43" i="1"/>
  <c r="J42" i="1"/>
  <c r="J34" i="1"/>
  <c r="N34" i="1" s="1"/>
  <c r="N42" i="1"/>
  <c r="M42" i="1"/>
  <c r="L42" i="1"/>
  <c r="L43" i="1"/>
  <c r="M43" i="1"/>
  <c r="N43" i="1"/>
  <c r="N44" i="1"/>
  <c r="M44" i="1"/>
  <c r="L44" i="1"/>
  <c r="J27" i="1"/>
  <c r="M27" i="1" s="1"/>
  <c r="M39" i="1"/>
  <c r="L39" i="1"/>
  <c r="N39" i="1"/>
  <c r="N40" i="1"/>
  <c r="M40" i="1"/>
  <c r="L40" i="1"/>
  <c r="J22" i="1"/>
  <c r="N22" i="1" s="1"/>
  <c r="J26" i="1"/>
  <c r="L26" i="1" s="1"/>
  <c r="J23" i="1"/>
  <c r="M23" i="1" s="1"/>
  <c r="J36" i="1"/>
  <c r="N36" i="1" s="1"/>
  <c r="J35" i="1"/>
  <c r="M35" i="1" s="1"/>
  <c r="J29" i="1"/>
  <c r="L29" i="1" s="1"/>
  <c r="J21" i="1"/>
  <c r="M21" i="1" s="1"/>
  <c r="J30" i="1"/>
  <c r="M30" i="1" s="1"/>
  <c r="L34" i="1"/>
  <c r="J47" i="1"/>
  <c r="M58" i="1"/>
  <c r="L58" i="1"/>
  <c r="M59" i="1"/>
  <c r="L59" i="1"/>
  <c r="C38" i="1"/>
  <c r="C19" i="1"/>
  <c r="C18" i="1"/>
  <c r="C16" i="1"/>
  <c r="C15" i="1"/>
  <c r="I15" i="1" s="1"/>
  <c r="C14" i="1"/>
  <c r="C13" i="1"/>
  <c r="C11" i="1"/>
  <c r="C10" i="1"/>
  <c r="C5" i="1"/>
  <c r="I5" i="1" s="1"/>
  <c r="C4" i="1"/>
  <c r="J4" i="1" s="1"/>
  <c r="N4" i="1" s="1"/>
  <c r="C3" i="1"/>
  <c r="C53" i="1"/>
  <c r="C52" i="1"/>
  <c r="C51" i="1"/>
  <c r="C46" i="1"/>
  <c r="J25" i="1" l="1"/>
  <c r="N25" i="1" s="1"/>
  <c r="I16" i="1"/>
  <c r="M34" i="1"/>
  <c r="L25" i="1"/>
  <c r="M25" i="1"/>
  <c r="M22" i="1"/>
  <c r="L27" i="1"/>
  <c r="N27" i="1"/>
  <c r="L22" i="1"/>
  <c r="M26" i="1"/>
  <c r="N23" i="1"/>
  <c r="N26" i="1"/>
  <c r="L23" i="1"/>
  <c r="L35" i="1"/>
  <c r="N35" i="1"/>
  <c r="M29" i="1"/>
  <c r="L36" i="1"/>
  <c r="N29" i="1"/>
  <c r="M36" i="1"/>
  <c r="N30" i="1"/>
  <c r="L30" i="1"/>
  <c r="L21" i="1"/>
  <c r="N21" i="1"/>
  <c r="J38" i="1"/>
  <c r="J55" i="1"/>
  <c r="M55" i="1" s="1"/>
  <c r="K19" i="1"/>
  <c r="J19" i="1" s="1"/>
  <c r="J15" i="1"/>
  <c r="J16" i="1"/>
  <c r="L16" i="1" s="1"/>
  <c r="J51" i="1"/>
  <c r="J53" i="1"/>
  <c r="K18" i="1"/>
  <c r="J18" i="1" s="1"/>
  <c r="J11" i="1"/>
  <c r="J46" i="1"/>
  <c r="M47" i="1"/>
  <c r="L47" i="1"/>
  <c r="N47" i="1"/>
  <c r="M4" i="1"/>
  <c r="L4" i="1"/>
  <c r="N3" i="1"/>
  <c r="J10" i="1"/>
  <c r="J14" i="1"/>
  <c r="J6" i="1"/>
  <c r="J5" i="1"/>
  <c r="E51" i="1"/>
  <c r="J52" i="1"/>
  <c r="N55" i="1" l="1"/>
  <c r="N19" i="1"/>
  <c r="L19" i="1"/>
  <c r="M19" i="1"/>
  <c r="M51" i="1"/>
  <c r="N51" i="1"/>
  <c r="L51" i="1"/>
  <c r="M15" i="1"/>
  <c r="L15" i="1"/>
  <c r="N15" i="1"/>
  <c r="N11" i="1"/>
  <c r="L11" i="1"/>
  <c r="M11" i="1"/>
  <c r="N18" i="1"/>
  <c r="L18" i="1"/>
  <c r="M18" i="1"/>
  <c r="L53" i="1"/>
  <c r="M53" i="1"/>
  <c r="N53" i="1"/>
  <c r="N38" i="1"/>
  <c r="M38" i="1"/>
  <c r="L38" i="1"/>
  <c r="N16" i="1"/>
  <c r="L55" i="1"/>
  <c r="M16" i="1"/>
  <c r="M13" i="1"/>
  <c r="L13" i="1"/>
  <c r="L3" i="1"/>
  <c r="M3" i="1"/>
  <c r="N14" i="1"/>
  <c r="M14" i="1"/>
  <c r="L14" i="1"/>
  <c r="M52" i="1"/>
  <c r="N52" i="1"/>
  <c r="L52" i="1"/>
  <c r="N46" i="1"/>
  <c r="M46" i="1"/>
  <c r="L46" i="1"/>
  <c r="N6" i="1"/>
  <c r="M6" i="1"/>
  <c r="L6" i="1"/>
  <c r="N5" i="1"/>
  <c r="M5" i="1"/>
  <c r="L5" i="1"/>
  <c r="L10" i="1"/>
  <c r="N10" i="1"/>
  <c r="M10" i="1"/>
  <c r="E19" i="1"/>
  <c r="E18" i="1"/>
</calcChain>
</file>

<file path=xl/sharedStrings.xml><?xml version="1.0" encoding="utf-8"?>
<sst xmlns="http://schemas.openxmlformats.org/spreadsheetml/2006/main" count="115" uniqueCount="83">
  <si>
    <t>Trainee level, Scholarships/Awards, TA positions</t>
  </si>
  <si>
    <t>External/Internal Scholarships</t>
  </si>
  <si>
    <t>Scholarship value to total funding</t>
  </si>
  <si>
    <r>
      <t xml:space="preserve"> Trainee Awards </t>
    </r>
    <r>
      <rPr>
        <sz val="10"/>
        <color theme="1"/>
        <rFont val="Arial"/>
        <family val="2"/>
      </rPr>
      <t>(included in stipend; eg CHRI, LHRI, One Health)</t>
    </r>
  </si>
  <si>
    <t>Award value minus TA</t>
  </si>
  <si>
    <t>TA value added to student's funding</t>
  </si>
  <si>
    <t xml:space="preserve">TA funding
</t>
  </si>
  <si>
    <t>WGRS Scholarship</t>
  </si>
  <si>
    <t>Funding level/ Bracket</t>
  </si>
  <si>
    <t>PI Responsibility per YEAR</t>
  </si>
  <si>
    <t>PI Responsibility per TERM</t>
  </si>
  <si>
    <t>PI Responsibility per MONTH</t>
  </si>
  <si>
    <t>Total Student Funding</t>
  </si>
  <si>
    <t>Comments</t>
  </si>
  <si>
    <t>DOM MSc, no scholarship, no TA</t>
  </si>
  <si>
    <t>DOM MSc, no scholarship, with TA</t>
  </si>
  <si>
    <r>
      <t xml:space="preserve">For Total funding, fill </t>
    </r>
    <r>
      <rPr>
        <b/>
        <i/>
        <sz val="11"/>
        <color theme="1"/>
        <rFont val="Arial"/>
        <family val="2"/>
      </rPr>
      <t>column G</t>
    </r>
  </si>
  <si>
    <t>DOM MSc, with scholarship (≤ $25,000), no TA</t>
  </si>
  <si>
    <r>
      <t xml:space="preserve">For Total funding, fill </t>
    </r>
    <r>
      <rPr>
        <b/>
        <i/>
        <sz val="11"/>
        <color theme="1"/>
        <rFont val="Arial"/>
        <family val="2"/>
      </rPr>
      <t>column B</t>
    </r>
  </si>
  <si>
    <t>DOM MSc, with scholarship (≤ $25,000), with TA</t>
  </si>
  <si>
    <r>
      <t xml:space="preserve">For Total funding, fill </t>
    </r>
    <r>
      <rPr>
        <b/>
        <i/>
        <sz val="11"/>
        <color theme="1"/>
        <rFont val="Arial"/>
        <family val="2"/>
      </rPr>
      <t xml:space="preserve">columns B </t>
    </r>
    <r>
      <rPr>
        <i/>
        <sz val="11"/>
        <color theme="1"/>
        <rFont val="Arial"/>
        <family val="2"/>
      </rPr>
      <t>and</t>
    </r>
    <r>
      <rPr>
        <b/>
        <i/>
        <sz val="11"/>
        <color theme="1"/>
        <rFont val="Arial"/>
        <family val="2"/>
      </rPr>
      <t xml:space="preserve"> G</t>
    </r>
  </si>
  <si>
    <t>DOM MSc, with scholarship (&gt; $25,000), no TA</t>
  </si>
  <si>
    <t>DOM MSc, with scholarship (&gt; $25,000), with TA</t>
  </si>
  <si>
    <t>DOM MSc, Trainee Award, no TA</t>
  </si>
  <si>
    <r>
      <t xml:space="preserve">For Total funding, fill </t>
    </r>
    <r>
      <rPr>
        <b/>
        <i/>
        <sz val="11"/>
        <color theme="1"/>
        <rFont val="Arial"/>
        <family val="2"/>
      </rPr>
      <t>column D</t>
    </r>
  </si>
  <si>
    <t>DOM MSc, Trainee Award, with TA</t>
  </si>
  <si>
    <r>
      <t xml:space="preserve">For Total funding, fill </t>
    </r>
    <r>
      <rPr>
        <b/>
        <i/>
        <sz val="11"/>
        <color theme="1"/>
        <rFont val="Arial"/>
        <family val="2"/>
      </rPr>
      <t>column D</t>
    </r>
    <r>
      <rPr>
        <i/>
        <sz val="11"/>
        <color theme="1"/>
        <rFont val="Arial"/>
        <family val="2"/>
      </rPr>
      <t xml:space="preserve"> and</t>
    </r>
    <r>
      <rPr>
        <b/>
        <i/>
        <sz val="11"/>
        <color theme="1"/>
        <rFont val="Arial"/>
        <family val="2"/>
      </rPr>
      <t xml:space="preserve"> G</t>
    </r>
  </si>
  <si>
    <t>INT MSc, no scholarship, no TA</t>
  </si>
  <si>
    <t>INT MSc, no scholarship, with TA</t>
  </si>
  <si>
    <t>INT MSc, with scholarship, no TA</t>
  </si>
  <si>
    <t>INT MSc, with scholarship, with TA</t>
  </si>
  <si>
    <t>INT MSc, Trainee Award, no TA</t>
  </si>
  <si>
    <t>INT MSc, Trainee Award, with TA</t>
  </si>
  <si>
    <t>DOM PhD, no scholarship, with TA</t>
  </si>
  <si>
    <r>
      <t>DOM PhD, no scholarship, with Supervisor-</t>
    </r>
    <r>
      <rPr>
        <sz val="11"/>
        <color rgb="FFFF0000"/>
        <rFont val="Arial"/>
        <family val="2"/>
      </rPr>
      <t>declined</t>
    </r>
    <r>
      <rPr>
        <sz val="11"/>
        <color theme="1"/>
        <rFont val="Arial"/>
        <family val="2"/>
      </rPr>
      <t xml:space="preserve"> TA</t>
    </r>
  </si>
  <si>
    <r>
      <t>DOM PhD, no scholarship, with Student-</t>
    </r>
    <r>
      <rPr>
        <sz val="11"/>
        <color rgb="FFFF0000"/>
        <rFont val="Arial"/>
        <family val="2"/>
      </rPr>
      <t>declined</t>
    </r>
    <r>
      <rPr>
        <sz val="11"/>
        <color theme="1"/>
        <rFont val="Arial"/>
        <family val="2"/>
      </rPr>
      <t xml:space="preserve"> TA</t>
    </r>
  </si>
  <si>
    <t>DOM PhD, internal scholarship (&lt;$10,000), with TA</t>
  </si>
  <si>
    <r>
      <t>DOM PhD, internal scholarship (&lt;$10,000), with Supervisor-</t>
    </r>
    <r>
      <rPr>
        <sz val="11"/>
        <color rgb="FFFF0000"/>
        <rFont val="Arial"/>
        <family val="2"/>
      </rPr>
      <t>declined</t>
    </r>
    <r>
      <rPr>
        <sz val="11"/>
        <color theme="1"/>
        <rFont val="Arial"/>
        <family val="2"/>
      </rPr>
      <t xml:space="preserve"> TA</t>
    </r>
  </si>
  <si>
    <r>
      <t>DOM PhD, internal scholarship (&lt;$10,000), with Student-</t>
    </r>
    <r>
      <rPr>
        <sz val="11"/>
        <color rgb="FFFF0000"/>
        <rFont val="Arial"/>
        <family val="2"/>
      </rPr>
      <t>declined</t>
    </r>
    <r>
      <rPr>
        <sz val="11"/>
        <color theme="1"/>
        <rFont val="Arial"/>
        <family val="2"/>
      </rPr>
      <t xml:space="preserve"> TA</t>
    </r>
  </si>
  <si>
    <t>DOM PhD, with external scholarships (≥$10,000, &lt;$25K), no TA</t>
  </si>
  <si>
    <t>DOM PhD, with external scholarships (≥$10,000, &lt;$25K), with TA</t>
  </si>
  <si>
    <t>DOM PhD, with external scholarships (≥$25,000, &lt;$40,000), no TA</t>
  </si>
  <si>
    <t>DOM PhD, with external scholarships (≥$25,000, &lt;$40,000), with TA</t>
  </si>
  <si>
    <t>DOM PhD, Trainee Award, with TA</t>
  </si>
  <si>
    <r>
      <t xml:space="preserve">For Total funding, fill </t>
    </r>
    <r>
      <rPr>
        <b/>
        <i/>
        <sz val="11"/>
        <color theme="1"/>
        <rFont val="Arial"/>
        <family val="2"/>
      </rPr>
      <t xml:space="preserve">column D </t>
    </r>
    <r>
      <rPr>
        <i/>
        <sz val="11"/>
        <color theme="1"/>
        <rFont val="Arial"/>
        <family val="2"/>
      </rPr>
      <t xml:space="preserve">and </t>
    </r>
    <r>
      <rPr>
        <b/>
        <i/>
        <sz val="11"/>
        <color theme="1"/>
        <rFont val="Arial"/>
        <family val="2"/>
      </rPr>
      <t>G</t>
    </r>
  </si>
  <si>
    <r>
      <t>DOM PhD, Trainee Award, with Supervisor-</t>
    </r>
    <r>
      <rPr>
        <sz val="11"/>
        <color rgb="FFFF0000"/>
        <rFont val="Arial"/>
        <family val="2"/>
      </rPr>
      <t>declined</t>
    </r>
    <r>
      <rPr>
        <sz val="11"/>
        <color theme="1"/>
        <rFont val="Arial"/>
        <family val="2"/>
      </rPr>
      <t xml:space="preserve"> TA</t>
    </r>
  </si>
  <si>
    <r>
      <t>DOM PhD, Trainee Award, with Student-</t>
    </r>
    <r>
      <rPr>
        <sz val="11"/>
        <color rgb="FFFF0000"/>
        <rFont val="Arial"/>
        <family val="2"/>
      </rPr>
      <t>declined</t>
    </r>
    <r>
      <rPr>
        <sz val="11"/>
        <color theme="1"/>
        <rFont val="Arial"/>
        <family val="2"/>
      </rPr>
      <t xml:space="preserve"> TA</t>
    </r>
  </si>
  <si>
    <t>INT PhD, no scholarship, with TA</t>
  </si>
  <si>
    <r>
      <t>INT PhD, no scholarship, with Supervisor-</t>
    </r>
    <r>
      <rPr>
        <sz val="11"/>
        <color rgb="FFFF0000"/>
        <rFont val="Arial"/>
        <family val="2"/>
      </rPr>
      <t>declined</t>
    </r>
    <r>
      <rPr>
        <sz val="11"/>
        <color theme="1"/>
        <rFont val="Arial"/>
        <family val="2"/>
      </rPr>
      <t xml:space="preserve"> TA</t>
    </r>
  </si>
  <si>
    <r>
      <t>INT PhD, no scholarship, with Student-</t>
    </r>
    <r>
      <rPr>
        <sz val="11"/>
        <color rgb="FFFF0000"/>
        <rFont val="Arial"/>
        <family val="2"/>
      </rPr>
      <t>declined</t>
    </r>
    <r>
      <rPr>
        <sz val="11"/>
        <color theme="1"/>
        <rFont val="Arial"/>
        <family val="2"/>
      </rPr>
      <t xml:space="preserve"> TA</t>
    </r>
  </si>
  <si>
    <t>INT PhD, internal scholarship (&lt;$10,000), with TA</t>
  </si>
  <si>
    <r>
      <t>INT PhD, internal scholarship (&lt;$10,000), with Supervisor-</t>
    </r>
    <r>
      <rPr>
        <sz val="11"/>
        <color rgb="FFFF0000"/>
        <rFont val="Arial"/>
        <family val="2"/>
      </rPr>
      <t>declined</t>
    </r>
    <r>
      <rPr>
        <sz val="11"/>
        <color theme="1"/>
        <rFont val="Arial"/>
        <family val="2"/>
      </rPr>
      <t xml:space="preserve"> TA</t>
    </r>
  </si>
  <si>
    <r>
      <t>INT PhD, internal scholarship (&lt;$10,000), with Student-</t>
    </r>
    <r>
      <rPr>
        <sz val="11"/>
        <color rgb="FFFF0000"/>
        <rFont val="Arial"/>
        <family val="2"/>
      </rPr>
      <t>declined</t>
    </r>
    <r>
      <rPr>
        <sz val="11"/>
        <color theme="1"/>
        <rFont val="Arial"/>
        <family val="2"/>
      </rPr>
      <t xml:space="preserve"> TA</t>
    </r>
  </si>
  <si>
    <t>INT PhD, with external scholarship (&gt;$10,000, ≤ $25,000), no TA</t>
  </si>
  <si>
    <t>INT PhD, with external scholarship (&gt;$10,000, ≤ $25,000), with TA</t>
  </si>
  <si>
    <t>INT PhD, with external scholarships (&gt;$25,000, ≤ $40,000), no TA</t>
  </si>
  <si>
    <t>INT PhD, with external scholarships (&gt;$25,000, ≤ $40,000), with TA</t>
  </si>
  <si>
    <t>INT PhD, Trainee Award, with TA</t>
  </si>
  <si>
    <r>
      <t>INT PhD, Trainee Award, with Supervisor-</t>
    </r>
    <r>
      <rPr>
        <sz val="11"/>
        <color rgb="FFFF0000"/>
        <rFont val="Arial"/>
        <family val="2"/>
      </rPr>
      <t>declined</t>
    </r>
    <r>
      <rPr>
        <sz val="11"/>
        <color theme="1"/>
        <rFont val="Arial"/>
        <family val="2"/>
      </rPr>
      <t xml:space="preserve"> TA</t>
    </r>
  </si>
  <si>
    <r>
      <t>INT PhD, Trainee Award, with Student-</t>
    </r>
    <r>
      <rPr>
        <sz val="11"/>
        <color rgb="FFFF0000"/>
        <rFont val="Arial"/>
        <family val="2"/>
      </rPr>
      <t>declined</t>
    </r>
    <r>
      <rPr>
        <sz val="11"/>
        <color theme="1"/>
        <rFont val="Arial"/>
        <family val="2"/>
      </rPr>
      <t xml:space="preserve"> TA</t>
    </r>
  </si>
  <si>
    <t>PhD, Scholarships ≥ $40,000 (eg NSERC CGSD)</t>
  </si>
  <si>
    <t>PhD, Scholarships ≥ $40,000 (eg NSERC CGSD), with TA</t>
  </si>
  <si>
    <r>
      <t xml:space="preserve">For Total funding, fill </t>
    </r>
    <r>
      <rPr>
        <b/>
        <i/>
        <sz val="11"/>
        <color theme="1"/>
        <rFont val="Arial"/>
        <family val="2"/>
      </rPr>
      <t xml:space="preserve">column B </t>
    </r>
    <r>
      <rPr>
        <i/>
        <sz val="11"/>
        <color theme="1"/>
        <rFont val="Arial"/>
        <family val="2"/>
      </rPr>
      <t xml:space="preserve">and </t>
    </r>
    <r>
      <rPr>
        <b/>
        <i/>
        <sz val="11"/>
        <color theme="1"/>
        <rFont val="Arial"/>
        <family val="2"/>
      </rPr>
      <t>G</t>
    </r>
  </si>
  <si>
    <t>PhD, Vanier (approx. $50,000)</t>
  </si>
  <si>
    <t>PhD, Trudeau Foundation Scholarship</t>
  </si>
  <si>
    <t>Add value of 0.5 GTA:</t>
  </si>
  <si>
    <t>Add base DOM MSc funding level:</t>
  </si>
  <si>
    <t>Add base INT MSc funding level:</t>
  </si>
  <si>
    <t>Add base PhD funding level:</t>
  </si>
  <si>
    <t>Add DOM MSc WGRS value:</t>
  </si>
  <si>
    <t>Add INT MSc WGRS value:</t>
  </si>
  <si>
    <t>Add PhD WGRS value:</t>
  </si>
  <si>
    <t>NOTES</t>
  </si>
  <si>
    <r>
      <rPr>
        <b/>
        <sz val="11"/>
        <color rgb="FF000000"/>
        <rFont val="Arial"/>
      </rPr>
      <t xml:space="preserve">1. Minimum stipend support (base): </t>
    </r>
    <r>
      <rPr>
        <sz val="11"/>
        <color rgb="FF000000"/>
        <rFont val="Arial"/>
      </rPr>
      <t>Minimum stipend support for MSc students in Pathology and Laboratory Medicine is $21,500 for Domestic students and $35,000 for international students; Minimum stipend for PhD students is $32,500 (domestic and international). Student's academic average, receiving scholarships/awards, and TA positions may change this level of support. Supervisors may also increase the level of support, depending on awards/scholarships or other conditions.</t>
    </r>
  </si>
  <si>
    <r>
      <rPr>
        <b/>
        <sz val="11"/>
        <color rgb="FF000000"/>
        <rFont val="Arial"/>
      </rPr>
      <t xml:space="preserve">2. Western Graduate Research Scholarship (WGRS) eligibility: </t>
    </r>
    <r>
      <rPr>
        <sz val="11"/>
        <color rgb="FF000000"/>
        <rFont val="Arial"/>
      </rPr>
      <t>First 6 terms of a full-time MSc; 12 terms of a full-time PhD if the student starts the PhD program after completing a Masters; 15 terms of a full-time PhD student if the student transfers from MSc to PhD or starts the PhD program after comleting a Bachelor's degree (i.e. direct entry); 9 terms for the PhD portion of a dual-degree MD/PhD program.  An academic average of 70% must be maintained to receive WGRS.</t>
    </r>
  </si>
  <si>
    <r>
      <rPr>
        <b/>
        <sz val="11"/>
        <color indexed="8"/>
        <rFont val="Arial"/>
        <family val="2"/>
      </rPr>
      <t xml:space="preserve">3. TA positions for MSc students: </t>
    </r>
    <r>
      <rPr>
        <sz val="11"/>
        <color indexed="8"/>
        <rFont val="Arial"/>
        <family val="2"/>
      </rPr>
      <t>MSc students are not guaranteed a TA position. Students may apply for a TA position in Schulich Medicine &amp; Dentistry or other Faculty.</t>
    </r>
  </si>
  <si>
    <r>
      <rPr>
        <b/>
        <sz val="11"/>
        <color rgb="FF000000"/>
        <rFont val="Arial"/>
      </rPr>
      <t xml:space="preserve">4. TA positions for PhD students: </t>
    </r>
    <r>
      <rPr>
        <sz val="11"/>
        <color rgb="FF000000"/>
        <rFont val="Arial"/>
      </rPr>
      <t>All PhD students are guaranteed a 0.5 TA position (140 hours), unless they hold a scholarship, or are aceepted in the PhD program after the TA application deadline (typically in July). Students holding a scholarship and students admitted to the prorgam after the TA application deadline may still secure a TA position through Schulich Medicine &amp; Dentsitry or other Faculty, although it is not guaranteed.</t>
    </r>
  </si>
  <si>
    <r>
      <rPr>
        <b/>
        <sz val="11"/>
        <color indexed="8"/>
        <rFont val="Arial"/>
        <family val="2"/>
      </rPr>
      <t>5. Declining TA position:</t>
    </r>
    <r>
      <rPr>
        <sz val="11"/>
        <color indexed="8"/>
        <rFont val="Arial"/>
        <family val="2"/>
      </rPr>
      <t xml:space="preserve"> Supervisors can decline a TA position for their PhD student (opt-out form should be filled and submitted). In this case, supervisors will supplement the student's support by the value of 0.5 TA. Students can also opt-out of a TA position. If the student opts-out, their total financial support will decrease by the value of 0.5 TA.</t>
    </r>
  </si>
  <si>
    <r>
      <rPr>
        <b/>
        <sz val="11"/>
        <color indexed="8"/>
        <rFont val="Arial"/>
        <family val="2"/>
      </rPr>
      <t>6. Domestic and International Students:</t>
    </r>
    <r>
      <rPr>
        <sz val="11"/>
        <color indexed="8"/>
        <rFont val="Arial"/>
        <family val="2"/>
      </rPr>
      <t xml:space="preserve"> WGRS does not cover the entire tuition cost; Supervisor(s) may provide additional funds to make up the difference between WGRS and the cost of tuition.</t>
    </r>
  </si>
  <si>
    <r>
      <rPr>
        <b/>
        <sz val="11"/>
        <color rgb="FF000000"/>
        <rFont val="Arial"/>
      </rPr>
      <t>7. Scholarships for PhD students:</t>
    </r>
    <r>
      <rPr>
        <sz val="11"/>
        <color rgb="FF000000"/>
        <rFont val="Arial"/>
      </rPr>
      <t xml:space="preserve"> Funding model for PhD students holding internal scholarships (Typically &lt; $10,000) will be similar to PhD students without scholarships (TA funding is part of the total package). PhD students holding internal and external scholarships &gt; $10,000 are not guaranteed a TA position.</t>
    </r>
  </si>
  <si>
    <r>
      <rPr>
        <b/>
        <sz val="11"/>
        <color theme="1"/>
        <rFont val="Arial"/>
        <family val="2"/>
      </rPr>
      <t>8. Trainee Awards:</t>
    </r>
    <r>
      <rPr>
        <sz val="11"/>
        <color theme="1"/>
        <rFont val="Arial"/>
        <family val="2"/>
      </rPr>
      <t xml:space="preserve"> Supervisor-initiated student support awards (for example, One Health Research Award, CHRI Trainee Award, and Lawson IRF etc) are applied fully towards the base support package (supervisor responsibility goes down). Supervisors may choose to treat a trainee award as a Scholarship (and provide additional funding to the student).</t>
    </r>
  </si>
  <si>
    <t>While every effort has been made to ensure the above funding model is accurate and complete. The University of Western Ontario reserves the right to make changes as required.</t>
  </si>
  <si>
    <t>Revised June 15,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</si>
</sst>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1"/>
      <color theme="1"/>
      <name val="Arial"/>
      <family val="2"/>
    </font>
    <font>
      <b/>
      <sz val="10"/>
      <name val="Arial"/>
      <family val="2"/>
    </font>
    <font>
      <b/>
      <sz val="10"/>
      <color theme="1"/>
      <name val="Arial"/>
      <family val="2"/>
    </font>
    <font>
      <sz val="11"/>
      <color theme="0" tint="-0.499984740745262"/>
      <name val="Arial"/>
      <family val="2"/>
    </font>
    <font>
      <sz val="11"/>
      <color rgb="FFFF0000"/>
      <name val="Arial"/>
      <family val="2"/>
    </font>
    <font>
      <sz val="10"/>
      <color theme="1"/>
      <name val="Arial"/>
      <family val="2"/>
    </font>
    <font>
      <sz val="11"/>
      <name val="Arial"/>
      <family val="2"/>
    </font>
    <font>
      <sz val="11"/>
      <color theme="0" tint="-0.249977111117893"/>
      <name val="Arial"/>
      <family val="2"/>
    </font>
    <font>
      <b/>
      <sz val="11"/>
      <color theme="1"/>
      <name val="Arial"/>
      <family val="2"/>
    </font>
    <font>
      <i/>
      <sz val="11"/>
      <color theme="1"/>
      <name val="Arial"/>
      <family val="2"/>
    </font>
    <font>
      <b/>
      <i/>
      <sz val="11"/>
      <color theme="1"/>
      <name val="Arial"/>
      <family val="2"/>
    </font>
    <font>
      <sz val="11"/>
      <color indexed="8"/>
      <name val="Arial"/>
      <family val="2"/>
    </font>
    <font>
      <b/>
      <sz val="11"/>
      <color indexed="8"/>
      <name val="Arial"/>
      <family val="2"/>
    </font>
    <font>
      <b/>
      <sz val="11"/>
      <color rgb="FF000000"/>
      <name val="Arial"/>
    </font>
    <font>
      <sz val="11"/>
      <color rgb="FF000000"/>
      <name val="Arial"/>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73">
    <xf numFmtId="0" fontId="0" fillId="0" borderId="0" xfId="0"/>
    <xf numFmtId="164" fontId="0" fillId="0" borderId="0" xfId="0" applyNumberFormat="1" applyProtection="1">
      <protection locked="0"/>
    </xf>
    <xf numFmtId="0" fontId="0" fillId="0" borderId="10" xfId="0" applyBorder="1"/>
    <xf numFmtId="0" fontId="0" fillId="0" borderId="11" xfId="0" applyBorder="1"/>
    <xf numFmtId="0" fontId="0" fillId="0" borderId="12" xfId="0" applyBorder="1"/>
    <xf numFmtId="0" fontId="0" fillId="0" borderId="0" xfId="0" applyAlignment="1">
      <alignment horizontal="left" vertical="top"/>
    </xf>
    <xf numFmtId="164" fontId="0" fillId="3" borderId="3" xfId="0" applyNumberFormat="1" applyFill="1" applyBorder="1"/>
    <xf numFmtId="164" fontId="3" fillId="3" borderId="0" xfId="0" applyNumberFormat="1" applyFont="1" applyFill="1"/>
    <xf numFmtId="164" fontId="0" fillId="3" borderId="5" xfId="0" applyNumberFormat="1" applyFill="1" applyBorder="1"/>
    <xf numFmtId="164" fontId="0" fillId="3" borderId="0" xfId="0" applyNumberFormat="1" applyFill="1"/>
    <xf numFmtId="164" fontId="0" fillId="3" borderId="8" xfId="0" applyNumberFormat="1" applyFill="1" applyBorder="1"/>
    <xf numFmtId="164" fontId="6" fillId="3" borderId="0" xfId="0" applyNumberFormat="1" applyFont="1" applyFill="1"/>
    <xf numFmtId="164" fontId="0" fillId="2" borderId="3" xfId="0" applyNumberFormat="1" applyFill="1" applyBorder="1"/>
    <xf numFmtId="164" fontId="0" fillId="2" borderId="0" xfId="0" applyNumberFormat="1" applyFill="1"/>
    <xf numFmtId="0" fontId="0" fillId="2" borderId="0" xfId="0" applyFill="1"/>
    <xf numFmtId="0" fontId="3" fillId="2" borderId="0" xfId="0" applyFont="1" applyFill="1"/>
    <xf numFmtId="0" fontId="0" fillId="2" borderId="11" xfId="0" applyFill="1" applyBorder="1"/>
    <xf numFmtId="0" fontId="0" fillId="2" borderId="10" xfId="0" applyFill="1" applyBorder="1"/>
    <xf numFmtId="0" fontId="0" fillId="2" borderId="5" xfId="0" applyFill="1" applyBorder="1"/>
    <xf numFmtId="164" fontId="7" fillId="2" borderId="3" xfId="0" applyNumberFormat="1" applyFont="1" applyFill="1" applyBorder="1"/>
    <xf numFmtId="164" fontId="7" fillId="2" borderId="0" xfId="0" applyNumberFormat="1" applyFont="1" applyFill="1"/>
    <xf numFmtId="0" fontId="7" fillId="2" borderId="0" xfId="0" applyFont="1" applyFill="1"/>
    <xf numFmtId="164" fontId="7" fillId="2" borderId="8" xfId="0" applyNumberFormat="1" applyFont="1" applyFill="1" applyBorder="1"/>
    <xf numFmtId="164" fontId="7" fillId="2" borderId="4" xfId="0" applyNumberFormat="1" applyFont="1" applyFill="1" applyBorder="1"/>
    <xf numFmtId="164" fontId="7" fillId="2" borderId="6" xfId="0" applyNumberFormat="1" applyFont="1" applyFill="1" applyBorder="1"/>
    <xf numFmtId="164" fontId="7" fillId="2" borderId="9" xfId="0" applyNumberFormat="1" applyFont="1" applyFill="1" applyBorder="1"/>
    <xf numFmtId="0" fontId="8" fillId="0" borderId="0" xfId="0" applyFont="1"/>
    <xf numFmtId="164" fontId="0" fillId="0" borderId="0" xfId="0" applyNumberFormat="1"/>
    <xf numFmtId="164" fontId="0" fillId="3" borderId="2" xfId="0" applyNumberFormat="1" applyFill="1" applyBorder="1"/>
    <xf numFmtId="164" fontId="0" fillId="3" borderId="7" xfId="0" applyNumberFormat="1" applyFill="1" applyBorder="1"/>
    <xf numFmtId="164" fontId="0" fillId="2" borderId="11" xfId="0" applyNumberFormat="1" applyFill="1" applyBorder="1"/>
    <xf numFmtId="164" fontId="0" fillId="2" borderId="10" xfId="0" applyNumberFormat="1" applyFill="1" applyBorder="1"/>
    <xf numFmtId="164" fontId="0" fillId="2" borderId="12" xfId="0" applyNumberFormat="1" applyFill="1" applyBorder="1"/>
    <xf numFmtId="0" fontId="2" fillId="0" borderId="4" xfId="0" applyFont="1" applyBorder="1" applyAlignment="1">
      <alignment horizontal="center" vertical="top" wrapText="1"/>
    </xf>
    <xf numFmtId="164" fontId="0" fillId="2" borderId="6" xfId="0" applyNumberFormat="1" applyFill="1" applyBorder="1"/>
    <xf numFmtId="0" fontId="2" fillId="0" borderId="3" xfId="0" applyFont="1" applyBorder="1" applyAlignment="1">
      <alignment horizontal="center" vertical="top" wrapText="1"/>
    </xf>
    <xf numFmtId="0" fontId="0" fillId="2" borderId="6" xfId="0" applyFill="1" applyBorder="1"/>
    <xf numFmtId="0" fontId="2" fillId="0" borderId="10" xfId="0" applyFont="1" applyBorder="1" applyAlignment="1">
      <alignment horizontal="center" vertical="top" wrapText="1"/>
    </xf>
    <xf numFmtId="164" fontId="0" fillId="3" borderId="4" xfId="0" applyNumberFormat="1" applyFill="1" applyBorder="1"/>
    <xf numFmtId="164" fontId="0" fillId="3" borderId="6" xfId="0" applyNumberFormat="1" applyFill="1" applyBorder="1"/>
    <xf numFmtId="164" fontId="0" fillId="3" borderId="9" xfId="0" applyNumberFormat="1" applyFill="1" applyBorder="1"/>
    <xf numFmtId="164" fontId="0" fillId="0" borderId="1" xfId="0" applyNumberFormat="1" applyBorder="1" applyProtection="1">
      <protection locked="0"/>
    </xf>
    <xf numFmtId="0" fontId="9" fillId="0" borderId="11" xfId="0" applyFont="1" applyBorder="1"/>
    <xf numFmtId="164" fontId="3" fillId="3" borderId="6" xfId="0" applyNumberFormat="1" applyFont="1" applyFill="1" applyBorder="1"/>
    <xf numFmtId="164" fontId="0" fillId="2" borderId="0" xfId="0" applyNumberFormat="1" applyFill="1" applyProtection="1">
      <protection locked="0"/>
    </xf>
    <xf numFmtId="164" fontId="0" fillId="2" borderId="5" xfId="0" applyNumberFormat="1" applyFill="1" applyBorder="1"/>
    <xf numFmtId="164" fontId="7" fillId="2" borderId="5" xfId="0" applyNumberFormat="1" applyFont="1" applyFill="1" applyBorder="1"/>
    <xf numFmtId="164" fontId="0" fillId="0" borderId="6" xfId="0" applyNumberFormat="1" applyBorder="1" applyProtection="1">
      <protection locked="0"/>
    </xf>
    <xf numFmtId="164" fontId="0" fillId="0" borderId="5" xfId="0" applyNumberFormat="1" applyBorder="1" applyProtection="1">
      <protection locked="0"/>
    </xf>
    <xf numFmtId="0" fontId="7" fillId="2" borderId="5" xfId="0" applyFont="1" applyFill="1" applyBorder="1"/>
    <xf numFmtId="0" fontId="7" fillId="2" borderId="6" xfId="0" applyFont="1" applyFill="1" applyBorder="1"/>
    <xf numFmtId="164" fontId="7" fillId="2" borderId="7" xfId="0" applyNumberFormat="1" applyFont="1" applyFill="1" applyBorder="1"/>
    <xf numFmtId="0" fontId="9" fillId="0" borderId="12" xfId="0" applyFont="1" applyBorder="1"/>
    <xf numFmtId="0" fontId="1" fillId="0" borderId="10" xfId="0" applyFont="1" applyBorder="1" applyAlignment="1">
      <alignment horizontal="left" vertical="top" wrapText="1"/>
    </xf>
    <xf numFmtId="0" fontId="1" fillId="2" borderId="10" xfId="0" applyFont="1" applyFill="1" applyBorder="1" applyAlignment="1">
      <alignment horizontal="left"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10" xfId="0" applyFont="1" applyFill="1" applyBorder="1" applyAlignment="1">
      <alignment horizontal="center" vertical="top" wrapText="1"/>
    </xf>
    <xf numFmtId="164" fontId="0" fillId="2" borderId="6" xfId="0" applyNumberFormat="1" applyFill="1" applyBorder="1" applyProtection="1">
      <protection locked="0"/>
    </xf>
    <xf numFmtId="164" fontId="0" fillId="2" borderId="8" xfId="0" applyNumberFormat="1" applyFill="1" applyBorder="1"/>
    <xf numFmtId="0" fontId="0" fillId="4" borderId="11" xfId="0" applyFill="1" applyBorder="1"/>
    <xf numFmtId="0" fontId="7" fillId="4" borderId="5" xfId="0" applyFont="1" applyFill="1" applyBorder="1"/>
    <xf numFmtId="0" fontId="7" fillId="4" borderId="0" xfId="0" applyFont="1" applyFill="1"/>
    <xf numFmtId="0" fontId="0" fillId="4" borderId="0" xfId="0" applyFill="1"/>
    <xf numFmtId="0" fontId="7" fillId="4" borderId="6" xfId="0" applyFont="1" applyFill="1" applyBorder="1"/>
    <xf numFmtId="0" fontId="0" fillId="4" borderId="5" xfId="0" applyFill="1" applyBorder="1"/>
    <xf numFmtId="0" fontId="0" fillId="4" borderId="6" xfId="0" applyFill="1" applyBorder="1"/>
    <xf numFmtId="0" fontId="0" fillId="0" borderId="0" xfId="0" applyAlignment="1">
      <alignment horizontal="left" vertical="top" wrapText="1"/>
    </xf>
    <xf numFmtId="0" fontId="14" fillId="0" borderId="0" xfId="0" applyFont="1" applyAlignment="1">
      <alignment horizontal="left" vertical="top" wrapText="1"/>
    </xf>
    <xf numFmtId="0" fontId="9" fillId="0" borderId="0" xfId="0" applyFont="1" applyAlignment="1">
      <alignment horizontal="left" vertical="top" wrapText="1"/>
    </xf>
    <xf numFmtId="0" fontId="8" fillId="0" borderId="0" xfId="0" applyFont="1" applyAlignment="1">
      <alignment vertical="top"/>
    </xf>
    <xf numFmtId="0" fontId="11"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1"/>
  <sheetViews>
    <sheetView tabSelected="1" zoomScale="90" zoomScaleNormal="90" workbookViewId="0">
      <selection activeCell="D36" sqref="D36"/>
    </sheetView>
  </sheetViews>
  <sheetFormatPr defaultColWidth="9" defaultRowHeight="13.8" x14ac:dyDescent="0.25"/>
  <cols>
    <col min="1" max="1" width="58.8984375" customWidth="1"/>
    <col min="2" max="2" width="11.3984375" customWidth="1"/>
    <col min="3" max="3" width="17.3984375" hidden="1" customWidth="1"/>
    <col min="4" max="4" width="13.09765625" customWidth="1"/>
    <col min="5" max="5" width="11.3984375" hidden="1" customWidth="1"/>
    <col min="6" max="6" width="16.19921875" hidden="1" customWidth="1"/>
    <col min="7" max="7" width="11.59765625" customWidth="1"/>
    <col min="8" max="8" width="11.3984375" customWidth="1"/>
    <col min="9" max="9" width="12.19921875" hidden="1" customWidth="1"/>
    <col min="10" max="10" width="12.59765625" customWidth="1"/>
    <col min="11" max="11" width="13.19921875" hidden="1" customWidth="1"/>
    <col min="12" max="13" width="17.3984375" customWidth="1"/>
    <col min="14" max="14" width="12.5" customWidth="1"/>
    <col min="15" max="15" width="41.69921875" customWidth="1"/>
  </cols>
  <sheetData>
    <row r="1" spans="1:15" ht="51.75" customHeight="1" thickBot="1" x14ac:dyDescent="0.3">
      <c r="A1" s="53" t="s">
        <v>0</v>
      </c>
      <c r="B1" s="33" t="s">
        <v>1</v>
      </c>
      <c r="C1" s="33" t="s">
        <v>2</v>
      </c>
      <c r="D1" s="33" t="s">
        <v>3</v>
      </c>
      <c r="E1" s="33" t="s">
        <v>4</v>
      </c>
      <c r="F1" s="33" t="s">
        <v>5</v>
      </c>
      <c r="G1" s="33" t="s">
        <v>6</v>
      </c>
      <c r="H1" s="33" t="s">
        <v>7</v>
      </c>
      <c r="I1" s="33" t="s">
        <v>8</v>
      </c>
      <c r="J1" s="37" t="s">
        <v>9</v>
      </c>
      <c r="K1" s="37" t="s">
        <v>9</v>
      </c>
      <c r="L1" s="33" t="s">
        <v>10</v>
      </c>
      <c r="M1" s="35" t="s">
        <v>11</v>
      </c>
      <c r="N1" s="37" t="s">
        <v>12</v>
      </c>
      <c r="O1" s="37" t="s">
        <v>13</v>
      </c>
    </row>
    <row r="2" spans="1:15" x14ac:dyDescent="0.25">
      <c r="A2" s="54"/>
      <c r="B2" s="55"/>
      <c r="C2" s="56"/>
      <c r="D2" s="56"/>
      <c r="E2" s="56"/>
      <c r="F2" s="56"/>
      <c r="G2" s="57"/>
      <c r="H2" s="55"/>
      <c r="I2" s="56"/>
      <c r="J2" s="56"/>
      <c r="K2" s="56"/>
      <c r="L2" s="56"/>
      <c r="M2" s="57"/>
      <c r="N2" s="58"/>
      <c r="O2" s="37"/>
    </row>
    <row r="3" spans="1:15" x14ac:dyDescent="0.25">
      <c r="A3" s="3" t="s">
        <v>14</v>
      </c>
      <c r="B3" s="46">
        <v>0</v>
      </c>
      <c r="C3" s="20">
        <f t="shared" ref="C3:C6" si="0">B3/3</f>
        <v>0</v>
      </c>
      <c r="D3" s="20">
        <v>0</v>
      </c>
      <c r="E3" s="20"/>
      <c r="F3" s="20"/>
      <c r="G3" s="24">
        <v>0</v>
      </c>
      <c r="H3" s="8">
        <f>B$66</f>
        <v>3000</v>
      </c>
      <c r="I3" s="13">
        <f t="shared" ref="I3:I8" si="1">B$62+(F3*1)+C3</f>
        <v>21500</v>
      </c>
      <c r="J3" s="9">
        <f>IF(K3-0&lt;0,0,K3)</f>
        <v>18500</v>
      </c>
      <c r="K3" s="13">
        <f t="shared" ref="K3:K8" si="2">I3-(H3+G3+D3+B3)</f>
        <v>18500</v>
      </c>
      <c r="L3" s="9">
        <f>J3/3</f>
        <v>6166.666666666667</v>
      </c>
      <c r="M3" s="39">
        <f>J3/12</f>
        <v>1541.6666666666667</v>
      </c>
      <c r="N3" s="30">
        <f>J3+H3+B3+G3+D3</f>
        <v>21500</v>
      </c>
      <c r="O3" s="3"/>
    </row>
    <row r="4" spans="1:15" ht="14.4" x14ac:dyDescent="0.3">
      <c r="A4" s="3" t="s">
        <v>15</v>
      </c>
      <c r="B4" s="46">
        <v>0</v>
      </c>
      <c r="C4" s="20">
        <f t="shared" si="0"/>
        <v>0</v>
      </c>
      <c r="D4" s="20">
        <v>0</v>
      </c>
      <c r="E4" s="20"/>
      <c r="F4" s="20">
        <f>IF(G4&lt;=(B$61*0.5),G4,IF(G4&lt;=B$61,(B$61*0.5)+((0.5)*(G4-(B$61*0.5))),IF(G4&gt;B$61,(B$61*0.5)+((0.5)*(B$61-(B$61*0.5))))))</f>
        <v>3400</v>
      </c>
      <c r="G4" s="47">
        <f>0.5*$B$61</f>
        <v>3400</v>
      </c>
      <c r="H4" s="8">
        <f>B$66</f>
        <v>3000</v>
      </c>
      <c r="I4" s="13">
        <f t="shared" si="1"/>
        <v>24900</v>
      </c>
      <c r="J4" s="9">
        <f>IF(K4-0&lt;0,0,K4)</f>
        <v>18500</v>
      </c>
      <c r="K4" s="13">
        <f t="shared" si="2"/>
        <v>18500</v>
      </c>
      <c r="L4" s="9">
        <f t="shared" ref="L4:L53" si="3">J4/3</f>
        <v>6166.666666666667</v>
      </c>
      <c r="M4" s="39">
        <f>J4/12</f>
        <v>1541.6666666666667</v>
      </c>
      <c r="N4" s="30">
        <f>J4+H4+B4+G4+D4</f>
        <v>24900</v>
      </c>
      <c r="O4" s="42" t="s">
        <v>16</v>
      </c>
    </row>
    <row r="5" spans="1:15" ht="14.4" x14ac:dyDescent="0.3">
      <c r="A5" s="3" t="s">
        <v>17</v>
      </c>
      <c r="B5" s="48">
        <v>10000</v>
      </c>
      <c r="C5" s="20">
        <f t="shared" si="0"/>
        <v>3333.3333333333335</v>
      </c>
      <c r="D5" s="20">
        <v>0</v>
      </c>
      <c r="E5" s="20"/>
      <c r="F5" s="20"/>
      <c r="G5" s="24">
        <v>0</v>
      </c>
      <c r="H5" s="8">
        <f>B$66</f>
        <v>3000</v>
      </c>
      <c r="I5" s="13">
        <f t="shared" si="1"/>
        <v>24833.333333333332</v>
      </c>
      <c r="J5" s="9">
        <f t="shared" ref="J5:J8" si="4">IF(K5-0&lt;0,0,K5)</f>
        <v>11833.333333333332</v>
      </c>
      <c r="K5" s="13">
        <f t="shared" si="2"/>
        <v>11833.333333333332</v>
      </c>
      <c r="L5" s="9">
        <f t="shared" si="3"/>
        <v>3944.4444444444439</v>
      </c>
      <c r="M5" s="39">
        <f t="shared" ref="M5:M53" si="5">J5/12</f>
        <v>986.11111111111097</v>
      </c>
      <c r="N5" s="30">
        <f>J5+H5+B5+G5+D5</f>
        <v>24833.333333333332</v>
      </c>
      <c r="O5" s="42" t="s">
        <v>18</v>
      </c>
    </row>
    <row r="6" spans="1:15" ht="14.4" x14ac:dyDescent="0.3">
      <c r="A6" s="3" t="s">
        <v>19</v>
      </c>
      <c r="B6" s="48">
        <v>10000</v>
      </c>
      <c r="C6" s="20">
        <f t="shared" si="0"/>
        <v>3333.3333333333335</v>
      </c>
      <c r="D6" s="20">
        <v>0</v>
      </c>
      <c r="E6" s="20"/>
      <c r="F6" s="20">
        <f>IF(G6&lt;=(B$61*0.5),G6,IF(G6&lt;=B$61,(B$61*0.5)+((0.5)*(G6-(B$61*0.5))),IF(G6&gt;B$61,(B$61*0.5)+((0.5)*(B$61-(B$61*0.5))))))</f>
        <v>3400</v>
      </c>
      <c r="G6" s="47">
        <f>0.5*$B$61</f>
        <v>3400</v>
      </c>
      <c r="H6" s="8">
        <f>B$66</f>
        <v>3000</v>
      </c>
      <c r="I6" s="13">
        <f t="shared" si="1"/>
        <v>28233.333333333332</v>
      </c>
      <c r="J6" s="9">
        <f t="shared" si="4"/>
        <v>11833.333333333332</v>
      </c>
      <c r="K6" s="13">
        <f t="shared" si="2"/>
        <v>11833.333333333332</v>
      </c>
      <c r="L6" s="9">
        <f t="shared" si="3"/>
        <v>3944.4444444444439</v>
      </c>
      <c r="M6" s="39">
        <f t="shared" si="5"/>
        <v>986.11111111111097</v>
      </c>
      <c r="N6" s="30">
        <f t="shared" ref="N6:N55" si="6">J6+H6+B6+G6+D6</f>
        <v>28233.333333333332</v>
      </c>
      <c r="O6" s="42" t="s">
        <v>20</v>
      </c>
    </row>
    <row r="7" spans="1:15" ht="14.4" x14ac:dyDescent="0.3">
      <c r="A7" s="3" t="s">
        <v>21</v>
      </c>
      <c r="B7" s="48">
        <v>27000</v>
      </c>
      <c r="C7" s="20">
        <f t="shared" ref="C7:C8" si="7">B7/3</f>
        <v>9000</v>
      </c>
      <c r="D7" s="20"/>
      <c r="E7" s="20"/>
      <c r="F7" s="20"/>
      <c r="G7" s="24">
        <v>0</v>
      </c>
      <c r="H7" s="8">
        <v>0</v>
      </c>
      <c r="I7" s="13">
        <f t="shared" si="1"/>
        <v>30500</v>
      </c>
      <c r="J7" s="9">
        <f t="shared" si="4"/>
        <v>3500</v>
      </c>
      <c r="K7" s="13">
        <f t="shared" si="2"/>
        <v>3500</v>
      </c>
      <c r="L7" s="9">
        <f t="shared" ref="L7" si="8">J7/3</f>
        <v>1166.6666666666667</v>
      </c>
      <c r="M7" s="39">
        <f t="shared" ref="M7" si="9">J7/12</f>
        <v>291.66666666666669</v>
      </c>
      <c r="N7" s="30">
        <f t="shared" ref="N7" si="10">J7+H7+B7+G7+D7</f>
        <v>30500</v>
      </c>
      <c r="O7" s="42" t="s">
        <v>18</v>
      </c>
    </row>
    <row r="8" spans="1:15" ht="14.4" x14ac:dyDescent="0.3">
      <c r="A8" s="3" t="s">
        <v>22</v>
      </c>
      <c r="B8" s="48">
        <v>27000</v>
      </c>
      <c r="C8" s="20">
        <f t="shared" si="7"/>
        <v>9000</v>
      </c>
      <c r="D8" s="20">
        <v>0</v>
      </c>
      <c r="E8" s="20"/>
      <c r="F8" s="20">
        <f>IF(G8&lt;=(B$61*0.5),G8,IF(G8&lt;=B$61,(B$61*0.5)+((0.5)*(G8-(B$61*0.5))),IF(G8&gt;B$61,(B$61*0.5)+((0.5)*(B$61-(B$61*0.5))))))</f>
        <v>3400</v>
      </c>
      <c r="G8" s="47">
        <f>0.5*$B$61</f>
        <v>3400</v>
      </c>
      <c r="H8" s="8">
        <v>0</v>
      </c>
      <c r="I8" s="13">
        <f t="shared" si="1"/>
        <v>33900</v>
      </c>
      <c r="J8" s="9">
        <f t="shared" si="4"/>
        <v>3500</v>
      </c>
      <c r="K8" s="13">
        <f t="shared" si="2"/>
        <v>3500</v>
      </c>
      <c r="L8" s="9">
        <f t="shared" ref="L8" si="11">J8/3</f>
        <v>1166.6666666666667</v>
      </c>
      <c r="M8" s="39">
        <f t="shared" ref="M8" si="12">J8/12</f>
        <v>291.66666666666669</v>
      </c>
      <c r="N8" s="30">
        <f t="shared" ref="N8" si="13">J8+H8+B8+G8+D8</f>
        <v>33900</v>
      </c>
      <c r="O8" s="42" t="s">
        <v>20</v>
      </c>
    </row>
    <row r="9" spans="1:15" ht="14.4" x14ac:dyDescent="0.3">
      <c r="A9" s="16"/>
      <c r="B9" s="49"/>
      <c r="C9" s="21"/>
      <c r="D9" s="14"/>
      <c r="E9" s="14"/>
      <c r="F9" s="14"/>
      <c r="G9" s="50"/>
      <c r="H9" s="18"/>
      <c r="I9" s="13"/>
      <c r="J9" s="14"/>
      <c r="K9" s="14"/>
      <c r="L9" s="14"/>
      <c r="M9" s="36"/>
      <c r="N9" s="16"/>
      <c r="O9" s="42"/>
    </row>
    <row r="10" spans="1:15" ht="14.4" x14ac:dyDescent="0.3">
      <c r="A10" s="3" t="s">
        <v>23</v>
      </c>
      <c r="B10" s="46">
        <v>0</v>
      </c>
      <c r="C10" s="20">
        <f t="shared" ref="C10:C11" si="14">B10/3</f>
        <v>0</v>
      </c>
      <c r="D10" s="1">
        <v>5000</v>
      </c>
      <c r="E10" s="20">
        <f>D10-G10</f>
        <v>5000</v>
      </c>
      <c r="F10" s="20"/>
      <c r="G10" s="24">
        <v>0</v>
      </c>
      <c r="H10" s="8">
        <f>B$66</f>
        <v>3000</v>
      </c>
      <c r="I10" s="13">
        <f>B$62+(F10*1)+C10</f>
        <v>21500</v>
      </c>
      <c r="J10" s="9">
        <f t="shared" ref="J10:J11" si="15">IF(K10-0&lt;0,0,K10)</f>
        <v>13500</v>
      </c>
      <c r="K10" s="13">
        <f>I10-(H10+G10+D10+B10)</f>
        <v>13500</v>
      </c>
      <c r="L10" s="9">
        <f t="shared" si="3"/>
        <v>4500</v>
      </c>
      <c r="M10" s="39">
        <f t="shared" si="5"/>
        <v>1125</v>
      </c>
      <c r="N10" s="30">
        <f t="shared" si="6"/>
        <v>21500</v>
      </c>
      <c r="O10" s="42" t="s">
        <v>24</v>
      </c>
    </row>
    <row r="11" spans="1:15" ht="14.4" x14ac:dyDescent="0.3">
      <c r="A11" s="3" t="s">
        <v>25</v>
      </c>
      <c r="B11" s="46">
        <v>0</v>
      </c>
      <c r="C11" s="20">
        <f t="shared" si="14"/>
        <v>0</v>
      </c>
      <c r="D11" s="1">
        <v>5000</v>
      </c>
      <c r="E11" s="20">
        <f>D11-G11</f>
        <v>1600</v>
      </c>
      <c r="F11" s="20">
        <f>IF(G11&lt;=(B$61*0.5),G11,IF(G11&lt;=B$61,(B$61*0.5)+((0.5)*(G11-(B$61*0.5))),IF(G11&gt;B$61,(B$61*0.5)+((0.5)*(B$61-(B$61*0.5))))))</f>
        <v>3400</v>
      </c>
      <c r="G11" s="47">
        <f>0.5*$B$61</f>
        <v>3400</v>
      </c>
      <c r="H11" s="8">
        <f>B$66</f>
        <v>3000</v>
      </c>
      <c r="I11" s="13">
        <f>B$62+(F11*1)+C11</f>
        <v>24900</v>
      </c>
      <c r="J11" s="9">
        <f t="shared" si="15"/>
        <v>13500</v>
      </c>
      <c r="K11" s="13">
        <f>I11-(H11+G11+D11+B11)</f>
        <v>13500</v>
      </c>
      <c r="L11" s="9">
        <f t="shared" si="3"/>
        <v>4500</v>
      </c>
      <c r="M11" s="39">
        <f t="shared" si="5"/>
        <v>1125</v>
      </c>
      <c r="N11" s="30">
        <f t="shared" si="6"/>
        <v>24900</v>
      </c>
      <c r="O11" s="42" t="s">
        <v>26</v>
      </c>
    </row>
    <row r="12" spans="1:15" ht="14.4" x14ac:dyDescent="0.3">
      <c r="A12" s="16"/>
      <c r="B12" s="49"/>
      <c r="C12" s="21"/>
      <c r="D12" s="15"/>
      <c r="E12" s="21"/>
      <c r="F12" s="21"/>
      <c r="G12" s="50"/>
      <c r="H12" s="18"/>
      <c r="I12" s="14"/>
      <c r="J12" s="14"/>
      <c r="K12" s="14"/>
      <c r="L12" s="14"/>
      <c r="M12" s="36"/>
      <c r="N12" s="16"/>
      <c r="O12" s="42"/>
    </row>
    <row r="13" spans="1:15" ht="14.4" x14ac:dyDescent="0.3">
      <c r="A13" s="3" t="s">
        <v>27</v>
      </c>
      <c r="B13" s="46">
        <v>0</v>
      </c>
      <c r="C13" s="20">
        <f t="shared" ref="C13:C16" si="16">B13/3</f>
        <v>0</v>
      </c>
      <c r="D13" s="20">
        <v>0</v>
      </c>
      <c r="E13" s="20"/>
      <c r="F13" s="20"/>
      <c r="G13" s="24">
        <v>0</v>
      </c>
      <c r="H13" s="8">
        <f>B$67</f>
        <v>10800</v>
      </c>
      <c r="I13" s="13">
        <f>B$63+(F13*1)+C13</f>
        <v>35000</v>
      </c>
      <c r="J13" s="9">
        <f>IF(K13-0&lt;0,0,K13)</f>
        <v>24200</v>
      </c>
      <c r="K13" s="13">
        <f>I13-(H13+G13+D13+B13)</f>
        <v>24200</v>
      </c>
      <c r="L13" s="9">
        <f t="shared" si="3"/>
        <v>8066.666666666667</v>
      </c>
      <c r="M13" s="39">
        <f t="shared" si="5"/>
        <v>2016.6666666666667</v>
      </c>
      <c r="N13" s="30">
        <f t="shared" si="6"/>
        <v>35000</v>
      </c>
      <c r="O13" s="42"/>
    </row>
    <row r="14" spans="1:15" ht="14.4" x14ac:dyDescent="0.3">
      <c r="A14" s="3" t="s">
        <v>28</v>
      </c>
      <c r="B14" s="46">
        <v>0</v>
      </c>
      <c r="C14" s="20">
        <f t="shared" si="16"/>
        <v>0</v>
      </c>
      <c r="D14" s="20">
        <v>0</v>
      </c>
      <c r="E14" s="20"/>
      <c r="F14" s="20">
        <f>IF(G14&lt;=(B$61*0.5),G14,IF(G14&lt;=B$61,(B$61*0.5)+((0.5)*(G14-(B$61*0.5))),IF(G14&gt;B$61,(B$61*0.5)+((0.5)*(B$61-(B$61*0.5))))))</f>
        <v>3400</v>
      </c>
      <c r="G14" s="47">
        <f>0.5*$B$61</f>
        <v>3400</v>
      </c>
      <c r="H14" s="8">
        <f>B$67</f>
        <v>10800</v>
      </c>
      <c r="I14" s="13">
        <f>B$63+(F14*1)+C14</f>
        <v>38400</v>
      </c>
      <c r="J14" s="9">
        <f t="shared" ref="J14:J16" si="17">IF(K14-0&lt;0,0,K14)</f>
        <v>24200</v>
      </c>
      <c r="K14" s="13">
        <f>I14-(H14+G14+D14+B14)</f>
        <v>24200</v>
      </c>
      <c r="L14" s="9">
        <f t="shared" si="3"/>
        <v>8066.666666666667</v>
      </c>
      <c r="M14" s="39">
        <f t="shared" si="5"/>
        <v>2016.6666666666667</v>
      </c>
      <c r="N14" s="30">
        <f t="shared" si="6"/>
        <v>38400</v>
      </c>
      <c r="O14" s="42" t="s">
        <v>16</v>
      </c>
    </row>
    <row r="15" spans="1:15" ht="14.4" x14ac:dyDescent="0.3">
      <c r="A15" s="3" t="s">
        <v>29</v>
      </c>
      <c r="B15" s="48">
        <v>15000</v>
      </c>
      <c r="C15" s="20">
        <f t="shared" si="16"/>
        <v>5000</v>
      </c>
      <c r="D15" s="20">
        <v>0</v>
      </c>
      <c r="E15" s="20"/>
      <c r="F15" s="20"/>
      <c r="G15" s="24">
        <v>0</v>
      </c>
      <c r="H15" s="8">
        <f>B$67</f>
        <v>10800</v>
      </c>
      <c r="I15" s="13">
        <f>B$63+(F15*1)+C15</f>
        <v>40000</v>
      </c>
      <c r="J15" s="9">
        <f t="shared" si="17"/>
        <v>14200</v>
      </c>
      <c r="K15" s="13">
        <f>I15-(H15+G15+D15+B15)</f>
        <v>14200</v>
      </c>
      <c r="L15" s="9">
        <f t="shared" si="3"/>
        <v>4733.333333333333</v>
      </c>
      <c r="M15" s="39">
        <f t="shared" si="5"/>
        <v>1183.3333333333333</v>
      </c>
      <c r="N15" s="30">
        <f t="shared" si="6"/>
        <v>40000</v>
      </c>
      <c r="O15" s="42" t="s">
        <v>18</v>
      </c>
    </row>
    <row r="16" spans="1:15" ht="14.4" x14ac:dyDescent="0.3">
      <c r="A16" s="3" t="s">
        <v>30</v>
      </c>
      <c r="B16" s="48">
        <v>15000</v>
      </c>
      <c r="C16" s="20">
        <f t="shared" si="16"/>
        <v>5000</v>
      </c>
      <c r="D16" s="20">
        <v>0</v>
      </c>
      <c r="E16" s="20"/>
      <c r="F16" s="20">
        <f>IF(G16&lt;=(B$61*0.5),G16,IF(G16&lt;=B$61,(B$61*0.5)+((0.5)*(G16-(B$61*0.5))),IF(G16&gt;B$61,(B$61*0.5)+((0.5)*(B$61-(B$61*0.5))))))</f>
        <v>3400</v>
      </c>
      <c r="G16" s="47">
        <f>0.5*$B$61</f>
        <v>3400</v>
      </c>
      <c r="H16" s="8">
        <f>B$67</f>
        <v>10800</v>
      </c>
      <c r="I16" s="13">
        <f>B$63+(F16*1)+C16</f>
        <v>43400</v>
      </c>
      <c r="J16" s="9">
        <f t="shared" si="17"/>
        <v>14200</v>
      </c>
      <c r="K16" s="13">
        <f>I16-(H16+G16+D16+B16)</f>
        <v>14200</v>
      </c>
      <c r="L16" s="9">
        <f t="shared" si="3"/>
        <v>4733.333333333333</v>
      </c>
      <c r="M16" s="39">
        <f t="shared" si="5"/>
        <v>1183.3333333333333</v>
      </c>
      <c r="N16" s="30">
        <f t="shared" si="6"/>
        <v>43400</v>
      </c>
      <c r="O16" s="42" t="s">
        <v>20</v>
      </c>
    </row>
    <row r="17" spans="1:15" x14ac:dyDescent="0.25">
      <c r="A17" s="16"/>
      <c r="B17" s="49"/>
      <c r="C17" s="21"/>
      <c r="D17" s="14"/>
      <c r="E17" s="21"/>
      <c r="F17" s="21"/>
      <c r="G17" s="50"/>
      <c r="H17" s="18"/>
      <c r="I17" s="14"/>
      <c r="J17" s="14"/>
      <c r="K17" s="14"/>
      <c r="L17" s="14"/>
      <c r="M17" s="36"/>
      <c r="N17" s="16"/>
      <c r="O17" s="3"/>
    </row>
    <row r="18" spans="1:15" ht="14.4" x14ac:dyDescent="0.3">
      <c r="A18" s="3" t="s">
        <v>31</v>
      </c>
      <c r="B18" s="46">
        <v>0</v>
      </c>
      <c r="C18" s="20">
        <f t="shared" ref="C18:C19" si="18">B18/3</f>
        <v>0</v>
      </c>
      <c r="D18" s="1">
        <v>5000</v>
      </c>
      <c r="E18" s="20">
        <f>D18-G18</f>
        <v>5000</v>
      </c>
      <c r="F18" s="20"/>
      <c r="G18" s="24">
        <v>0</v>
      </c>
      <c r="H18" s="8">
        <f>B$67</f>
        <v>10800</v>
      </c>
      <c r="I18" s="13">
        <f>B$63+(F18*1)+C18</f>
        <v>35000</v>
      </c>
      <c r="J18" s="9">
        <f t="shared" ref="J18:J19" si="19">IF(K18-0&lt;0,0,K18)</f>
        <v>19200</v>
      </c>
      <c r="K18" s="13">
        <f>I18-(H18+G18+D18+B18)</f>
        <v>19200</v>
      </c>
      <c r="L18" s="9">
        <f t="shared" si="3"/>
        <v>6400</v>
      </c>
      <c r="M18" s="39">
        <f t="shared" si="5"/>
        <v>1600</v>
      </c>
      <c r="N18" s="30">
        <f t="shared" si="6"/>
        <v>35000</v>
      </c>
      <c r="O18" s="42" t="s">
        <v>24</v>
      </c>
    </row>
    <row r="19" spans="1:15" ht="14.4" x14ac:dyDescent="0.3">
      <c r="A19" s="3" t="s">
        <v>32</v>
      </c>
      <c r="B19" s="46">
        <v>0</v>
      </c>
      <c r="C19" s="20">
        <f t="shared" si="18"/>
        <v>0</v>
      </c>
      <c r="D19" s="1">
        <v>5000</v>
      </c>
      <c r="E19" s="20">
        <f>D19-G19</f>
        <v>1600</v>
      </c>
      <c r="F19" s="20">
        <f>IF(G19&lt;=(B$61*0.5),G19,IF(G19&lt;=B$61,(B$61*0.5)+((0.5)*(G19-(B$61*0.5))),IF(G19&gt;B$61,(B$61*0.5)+((0.5)*(B$61-(B$61*0.5))))))</f>
        <v>3400</v>
      </c>
      <c r="G19" s="47">
        <f>0.5*$B$61</f>
        <v>3400</v>
      </c>
      <c r="H19" s="8">
        <f>B$67</f>
        <v>10800</v>
      </c>
      <c r="I19" s="13">
        <f>B$63+(F19*1)+C19</f>
        <v>38400</v>
      </c>
      <c r="J19" s="9">
        <f t="shared" si="19"/>
        <v>19200</v>
      </c>
      <c r="K19" s="13">
        <f>I19-(H19+G19+D19+B19)</f>
        <v>19200</v>
      </c>
      <c r="L19" s="9">
        <f t="shared" si="3"/>
        <v>6400</v>
      </c>
      <c r="M19" s="39">
        <f t="shared" si="5"/>
        <v>1600</v>
      </c>
      <c r="N19" s="30">
        <f t="shared" si="6"/>
        <v>38400</v>
      </c>
      <c r="O19" s="42" t="s">
        <v>26</v>
      </c>
    </row>
    <row r="20" spans="1:15" x14ac:dyDescent="0.25">
      <c r="A20" s="61"/>
      <c r="B20" s="62"/>
      <c r="C20" s="63"/>
      <c r="D20" s="64"/>
      <c r="E20" s="63"/>
      <c r="F20" s="63"/>
      <c r="G20" s="65"/>
      <c r="H20" s="66"/>
      <c r="I20" s="64"/>
      <c r="J20" s="64"/>
      <c r="K20" s="64"/>
      <c r="L20" s="64"/>
      <c r="M20" s="67"/>
      <c r="N20" s="61"/>
      <c r="O20" s="61"/>
    </row>
    <row r="21" spans="1:15" ht="14.4" x14ac:dyDescent="0.3">
      <c r="A21" s="3" t="s">
        <v>33</v>
      </c>
      <c r="B21" s="46">
        <v>0</v>
      </c>
      <c r="C21" s="20">
        <f t="shared" ref="C21" si="20">B21/3</f>
        <v>0</v>
      </c>
      <c r="D21" s="20">
        <v>0</v>
      </c>
      <c r="E21" s="20"/>
      <c r="F21" s="20"/>
      <c r="G21" s="47">
        <f>$B$61</f>
        <v>6800</v>
      </c>
      <c r="H21" s="8">
        <f>B$68</f>
        <v>7000</v>
      </c>
      <c r="I21" s="13">
        <f>B$64+(F21*1)+C21</f>
        <v>32500</v>
      </c>
      <c r="J21" s="9">
        <f t="shared" ref="J21:J32" si="21">IF(K21-0&lt;0,0,K21)</f>
        <v>18700</v>
      </c>
      <c r="K21" s="13">
        <f>I21-(H21+G21+D21+B21)</f>
        <v>18700</v>
      </c>
      <c r="L21" s="9">
        <f t="shared" ref="L21:L32" si="22">J21/3</f>
        <v>6233.333333333333</v>
      </c>
      <c r="M21" s="39">
        <f t="shared" ref="M21:M32" si="23">J21/12</f>
        <v>1558.3333333333333</v>
      </c>
      <c r="N21" s="30">
        <f t="shared" ref="N21:N32" si="24">J21+H21+B21+G21+D21</f>
        <v>32500</v>
      </c>
      <c r="O21" s="42" t="s">
        <v>16</v>
      </c>
    </row>
    <row r="22" spans="1:15" ht="14.4" x14ac:dyDescent="0.3">
      <c r="A22" s="3" t="s">
        <v>34</v>
      </c>
      <c r="B22" s="46">
        <v>0</v>
      </c>
      <c r="C22" s="20">
        <f t="shared" ref="C22:C23" si="25">B22/3</f>
        <v>0</v>
      </c>
      <c r="D22" s="20">
        <v>0</v>
      </c>
      <c r="E22" s="20"/>
      <c r="F22" s="20"/>
      <c r="G22" s="24">
        <v>0</v>
      </c>
      <c r="H22" s="8">
        <f>B$68</f>
        <v>7000</v>
      </c>
      <c r="I22" s="13">
        <f>B$64+(F22*1)+C22</f>
        <v>32500</v>
      </c>
      <c r="J22" s="9">
        <f t="shared" ref="J22:J23" si="26">IF(K22-0&lt;0,0,K22)</f>
        <v>25500</v>
      </c>
      <c r="K22" s="13">
        <f>I22-(H22+G22+D22+B22)</f>
        <v>25500</v>
      </c>
      <c r="L22" s="9">
        <f t="shared" ref="L22:L23" si="27">J22/3</f>
        <v>8500</v>
      </c>
      <c r="M22" s="39">
        <f t="shared" ref="M22:M23" si="28">J22/12</f>
        <v>2125</v>
      </c>
      <c r="N22" s="30">
        <f t="shared" ref="N22:N23" si="29">J22+H22+B22+G22+D22</f>
        <v>32500</v>
      </c>
      <c r="O22" s="42"/>
    </row>
    <row r="23" spans="1:15" ht="14.4" x14ac:dyDescent="0.3">
      <c r="A23" s="3" t="s">
        <v>35</v>
      </c>
      <c r="B23" s="46">
        <v>0</v>
      </c>
      <c r="C23" s="20">
        <f t="shared" si="25"/>
        <v>0</v>
      </c>
      <c r="D23" s="20">
        <v>0</v>
      </c>
      <c r="E23" s="20"/>
      <c r="F23" s="20"/>
      <c r="G23" s="24">
        <v>0</v>
      </c>
      <c r="H23" s="8">
        <f>B$68</f>
        <v>7000</v>
      </c>
      <c r="I23" s="13">
        <f>(B$64-B$61)+C23</f>
        <v>25700</v>
      </c>
      <c r="J23" s="9">
        <f t="shared" si="26"/>
        <v>18700</v>
      </c>
      <c r="K23" s="13">
        <f>I23-(H23+G23+D23+B23)</f>
        <v>18700</v>
      </c>
      <c r="L23" s="9">
        <f t="shared" si="27"/>
        <v>6233.333333333333</v>
      </c>
      <c r="M23" s="39">
        <f t="shared" si="28"/>
        <v>1558.3333333333333</v>
      </c>
      <c r="N23" s="30">
        <f t="shared" si="29"/>
        <v>25700</v>
      </c>
      <c r="O23" s="42"/>
    </row>
    <row r="24" spans="1:15" ht="14.4" x14ac:dyDescent="0.3">
      <c r="A24" s="16"/>
      <c r="B24" s="46"/>
      <c r="C24" s="20"/>
      <c r="D24" s="20"/>
      <c r="E24" s="20"/>
      <c r="F24" s="20"/>
      <c r="G24" s="24"/>
      <c r="H24" s="8"/>
      <c r="I24" s="13"/>
      <c r="J24" s="9"/>
      <c r="K24" s="13"/>
      <c r="L24" s="9"/>
      <c r="M24" s="39"/>
      <c r="N24" s="30"/>
      <c r="O24" s="42"/>
    </row>
    <row r="25" spans="1:15" ht="14.4" x14ac:dyDescent="0.3">
      <c r="A25" s="3" t="s">
        <v>36</v>
      </c>
      <c r="B25" s="48">
        <v>5000</v>
      </c>
      <c r="C25" s="20">
        <f>B25/3</f>
        <v>1666.6666666666667</v>
      </c>
      <c r="D25" s="20">
        <v>0</v>
      </c>
      <c r="E25" s="20"/>
      <c r="F25" s="20"/>
      <c r="G25" s="47">
        <f>$B$61</f>
        <v>6800</v>
      </c>
      <c r="H25" s="8">
        <f>B$68</f>
        <v>7000</v>
      </c>
      <c r="I25" s="13">
        <f>B$64+(F25*1)+C25</f>
        <v>34166.666666666664</v>
      </c>
      <c r="J25" s="9">
        <f>IF(K25-0&lt;0,0,K25)</f>
        <v>15366.666666666664</v>
      </c>
      <c r="K25" s="13">
        <f>I25-(H25+G25+D25+B25)</f>
        <v>15366.666666666664</v>
      </c>
      <c r="L25" s="9">
        <f t="shared" ref="L25:L27" si="30">J25/3</f>
        <v>5122.2222222222217</v>
      </c>
      <c r="M25" s="39">
        <f t="shared" ref="M25:M27" si="31">J25/12</f>
        <v>1280.5555555555554</v>
      </c>
      <c r="N25" s="30">
        <f t="shared" ref="N25:N27" si="32">J25+H25+B25+G25+D25</f>
        <v>34166.666666666664</v>
      </c>
      <c r="O25" s="42" t="s">
        <v>20</v>
      </c>
    </row>
    <row r="26" spans="1:15" ht="14.4" x14ac:dyDescent="0.3">
      <c r="A26" s="3" t="s">
        <v>37</v>
      </c>
      <c r="B26" s="48">
        <v>5000</v>
      </c>
      <c r="C26" s="20">
        <f>B26/3</f>
        <v>1666.6666666666667</v>
      </c>
      <c r="D26" s="20">
        <v>0</v>
      </c>
      <c r="E26" s="20"/>
      <c r="F26" s="20"/>
      <c r="G26" s="24">
        <v>0</v>
      </c>
      <c r="H26" s="8">
        <f>B$68</f>
        <v>7000</v>
      </c>
      <c r="I26" s="13">
        <f>B$64+(F26*1)+C26</f>
        <v>34166.666666666664</v>
      </c>
      <c r="J26" s="9">
        <f t="shared" ref="J26:J27" si="33">IF(K26-0&lt;0,0,K26)</f>
        <v>22166.666666666664</v>
      </c>
      <c r="K26" s="13">
        <f>I26-(H26+G26+D26+B26)</f>
        <v>22166.666666666664</v>
      </c>
      <c r="L26" s="9">
        <f t="shared" si="30"/>
        <v>7388.8888888888878</v>
      </c>
      <c r="M26" s="39">
        <f t="shared" si="31"/>
        <v>1847.2222222222219</v>
      </c>
      <c r="N26" s="30">
        <f t="shared" si="32"/>
        <v>34166.666666666664</v>
      </c>
      <c r="O26" s="42" t="s">
        <v>18</v>
      </c>
    </row>
    <row r="27" spans="1:15" ht="14.4" x14ac:dyDescent="0.3">
      <c r="A27" s="3" t="s">
        <v>38</v>
      </c>
      <c r="B27" s="48">
        <v>5000</v>
      </c>
      <c r="C27" s="20">
        <f>B27/3</f>
        <v>1666.6666666666667</v>
      </c>
      <c r="D27" s="20">
        <v>0</v>
      </c>
      <c r="E27" s="20"/>
      <c r="F27" s="20"/>
      <c r="G27" s="24">
        <v>0</v>
      </c>
      <c r="H27" s="8">
        <f>B$68</f>
        <v>7000</v>
      </c>
      <c r="I27" s="13">
        <f>(B$64-B$61)+C27</f>
        <v>27366.666666666668</v>
      </c>
      <c r="J27" s="9">
        <f t="shared" si="33"/>
        <v>15366.666666666668</v>
      </c>
      <c r="K27" s="13">
        <f>I27-(H27+G27+D27+B27)</f>
        <v>15366.666666666668</v>
      </c>
      <c r="L27" s="9">
        <f t="shared" si="30"/>
        <v>5122.2222222222226</v>
      </c>
      <c r="M27" s="39">
        <f t="shared" si="31"/>
        <v>1280.5555555555557</v>
      </c>
      <c r="N27" s="30">
        <f t="shared" si="32"/>
        <v>27366.666666666668</v>
      </c>
      <c r="O27" s="42" t="s">
        <v>18</v>
      </c>
    </row>
    <row r="28" spans="1:15" ht="14.4" x14ac:dyDescent="0.3">
      <c r="A28" s="16"/>
      <c r="B28" s="46"/>
      <c r="C28" s="20"/>
      <c r="D28" s="20"/>
      <c r="E28" s="20"/>
      <c r="F28" s="20"/>
      <c r="G28" s="59"/>
      <c r="H28" s="8"/>
      <c r="I28" s="13"/>
      <c r="J28" s="9"/>
      <c r="K28" s="13"/>
      <c r="L28" s="9"/>
      <c r="M28" s="39"/>
      <c r="N28" s="30"/>
      <c r="O28" s="42"/>
    </row>
    <row r="29" spans="1:15" ht="14.4" x14ac:dyDescent="0.3">
      <c r="A29" s="3" t="s">
        <v>39</v>
      </c>
      <c r="B29" s="48">
        <v>15000</v>
      </c>
      <c r="C29" s="20">
        <f>B29/3</f>
        <v>5000</v>
      </c>
      <c r="D29" s="20">
        <v>0</v>
      </c>
      <c r="E29" s="20"/>
      <c r="F29" s="20"/>
      <c r="G29" s="24">
        <v>0</v>
      </c>
      <c r="H29" s="8">
        <f>B$68</f>
        <v>7000</v>
      </c>
      <c r="I29" s="13">
        <f>B$64+(F29*1)+C29</f>
        <v>37500</v>
      </c>
      <c r="J29" s="9">
        <f t="shared" si="21"/>
        <v>15500</v>
      </c>
      <c r="K29" s="13">
        <f>I29-(H29+G29+D29+B29)</f>
        <v>15500</v>
      </c>
      <c r="L29" s="9">
        <f t="shared" si="22"/>
        <v>5166.666666666667</v>
      </c>
      <c r="M29" s="39">
        <f t="shared" si="23"/>
        <v>1291.6666666666667</v>
      </c>
      <c r="N29" s="30">
        <f t="shared" si="24"/>
        <v>37500</v>
      </c>
      <c r="O29" s="42" t="s">
        <v>18</v>
      </c>
    </row>
    <row r="30" spans="1:15" ht="14.4" x14ac:dyDescent="0.3">
      <c r="A30" s="3" t="s">
        <v>40</v>
      </c>
      <c r="B30" s="48">
        <v>15000</v>
      </c>
      <c r="C30" s="20">
        <f>B30/3</f>
        <v>5000</v>
      </c>
      <c r="D30" s="20">
        <v>0</v>
      </c>
      <c r="E30" s="20"/>
      <c r="F30" s="20">
        <f>IF(G30&lt;=(B$61*0.5),G30,IF(G30&lt;=B$61,(B$61*0.5)+((0.5)*(G30-(B$61*0.5))),IF(G30&gt;B$61,(B$61*0.5)+((0.5)*(B$61-(B$61*0.5))))))</f>
        <v>5100</v>
      </c>
      <c r="G30" s="47">
        <f>$B$61</f>
        <v>6800</v>
      </c>
      <c r="H30" s="8">
        <f>B$68</f>
        <v>7000</v>
      </c>
      <c r="I30" s="13">
        <f>B$64+(F30*1)+C30</f>
        <v>42600</v>
      </c>
      <c r="J30" s="9">
        <f t="shared" si="21"/>
        <v>13800</v>
      </c>
      <c r="K30" s="13">
        <f>I30-(H30+G30+D30+B30)</f>
        <v>13800</v>
      </c>
      <c r="L30" s="9">
        <f t="shared" si="22"/>
        <v>4600</v>
      </c>
      <c r="M30" s="39">
        <f t="shared" si="23"/>
        <v>1150</v>
      </c>
      <c r="N30" s="30">
        <f t="shared" si="24"/>
        <v>42600</v>
      </c>
      <c r="O30" s="42" t="s">
        <v>20</v>
      </c>
    </row>
    <row r="31" spans="1:15" ht="14.4" x14ac:dyDescent="0.3">
      <c r="A31" s="3" t="s">
        <v>41</v>
      </c>
      <c r="B31" s="48">
        <v>30000</v>
      </c>
      <c r="C31" s="20">
        <f>B31/3</f>
        <v>10000</v>
      </c>
      <c r="D31" s="20">
        <v>0</v>
      </c>
      <c r="E31" s="20"/>
      <c r="F31" s="20"/>
      <c r="G31" s="24">
        <v>0</v>
      </c>
      <c r="H31" s="8">
        <v>3000</v>
      </c>
      <c r="I31" s="13">
        <f>B$64+(F31*1)+C31</f>
        <v>42500</v>
      </c>
      <c r="J31" s="9">
        <f t="shared" si="21"/>
        <v>9500</v>
      </c>
      <c r="K31" s="13">
        <f>I31-(H31+G31+D31+B31)</f>
        <v>9500</v>
      </c>
      <c r="L31" s="9">
        <f t="shared" si="22"/>
        <v>3166.6666666666665</v>
      </c>
      <c r="M31" s="39">
        <f t="shared" si="23"/>
        <v>791.66666666666663</v>
      </c>
      <c r="N31" s="30">
        <f t="shared" si="24"/>
        <v>42500</v>
      </c>
      <c r="O31" s="42" t="s">
        <v>18</v>
      </c>
    </row>
    <row r="32" spans="1:15" ht="14.4" x14ac:dyDescent="0.3">
      <c r="A32" s="3" t="s">
        <v>42</v>
      </c>
      <c r="B32" s="48">
        <v>30000</v>
      </c>
      <c r="C32" s="20">
        <f>B32/3</f>
        <v>10000</v>
      </c>
      <c r="D32" s="20">
        <v>0</v>
      </c>
      <c r="E32" s="20"/>
      <c r="F32" s="20">
        <f>IF(G32&lt;=(B$61*0.5),G32,IF(G32&lt;=B$61,(B$61*0.5)+((0.5)*(G32-(B$61*0.5))),IF(G32&gt;B$61,(B$61*0.5)+((0.5)*(B$61-(B$61*0.5))))))</f>
        <v>5100</v>
      </c>
      <c r="G32" s="47">
        <f>$B$61</f>
        <v>6800</v>
      </c>
      <c r="H32" s="8">
        <v>3000</v>
      </c>
      <c r="I32" s="13">
        <f>B$64+(F32*1)+C32</f>
        <v>47600</v>
      </c>
      <c r="J32" s="9">
        <f t="shared" si="21"/>
        <v>7800</v>
      </c>
      <c r="K32" s="13">
        <f>I32-(H32+G32+D32+B32)</f>
        <v>7800</v>
      </c>
      <c r="L32" s="9">
        <f t="shared" si="22"/>
        <v>2600</v>
      </c>
      <c r="M32" s="39">
        <f t="shared" si="23"/>
        <v>650</v>
      </c>
      <c r="N32" s="30">
        <f t="shared" si="24"/>
        <v>47600</v>
      </c>
      <c r="O32" s="42" t="s">
        <v>20</v>
      </c>
    </row>
    <row r="33" spans="1:15" x14ac:dyDescent="0.25">
      <c r="A33" s="16"/>
      <c r="B33" s="49"/>
      <c r="C33" s="21"/>
      <c r="D33" s="14"/>
      <c r="E33" s="21"/>
      <c r="F33" s="21"/>
      <c r="G33" s="50"/>
      <c r="H33" s="18"/>
      <c r="I33" s="14"/>
      <c r="J33" s="14"/>
      <c r="K33" s="14"/>
      <c r="L33" s="14"/>
      <c r="M33" s="36"/>
      <c r="N33" s="16"/>
      <c r="O33" s="3"/>
    </row>
    <row r="34" spans="1:15" ht="14.4" x14ac:dyDescent="0.3">
      <c r="A34" s="3" t="s">
        <v>43</v>
      </c>
      <c r="B34" s="46">
        <v>0</v>
      </c>
      <c r="C34" s="20">
        <f t="shared" ref="C34:C36" si="34">B34/3</f>
        <v>0</v>
      </c>
      <c r="D34" s="1">
        <v>10000</v>
      </c>
      <c r="E34" s="20">
        <f>D34</f>
        <v>10000</v>
      </c>
      <c r="F34" s="20"/>
      <c r="G34" s="47">
        <f>$B$61</f>
        <v>6800</v>
      </c>
      <c r="H34" s="8">
        <f>B$68</f>
        <v>7000</v>
      </c>
      <c r="I34" s="13">
        <f>B$64+(F34*1)+C34</f>
        <v>32500</v>
      </c>
      <c r="J34" s="9">
        <f t="shared" ref="J34:J36" si="35">IF(K34-0&lt;0,0,K34)</f>
        <v>8700</v>
      </c>
      <c r="K34" s="13">
        <f>I34-(H34+G34+D34+B34)</f>
        <v>8700</v>
      </c>
      <c r="L34" s="9">
        <f t="shared" ref="L34:L36" si="36">J34/3</f>
        <v>2900</v>
      </c>
      <c r="M34" s="39">
        <f t="shared" ref="M34:M36" si="37">J34/12</f>
        <v>725</v>
      </c>
      <c r="N34" s="30">
        <f t="shared" ref="N34:N36" si="38">J34+H34+B34+G34+D34</f>
        <v>32500</v>
      </c>
      <c r="O34" s="42" t="s">
        <v>44</v>
      </c>
    </row>
    <row r="35" spans="1:15" ht="14.4" x14ac:dyDescent="0.3">
      <c r="A35" s="3" t="s">
        <v>45</v>
      </c>
      <c r="B35" s="46">
        <v>0</v>
      </c>
      <c r="C35" s="20">
        <f t="shared" si="34"/>
        <v>0</v>
      </c>
      <c r="D35" s="1">
        <v>10000</v>
      </c>
      <c r="E35" s="20">
        <f>D35-B53</f>
        <v>10000</v>
      </c>
      <c r="F35" s="20"/>
      <c r="G35" s="24">
        <v>0</v>
      </c>
      <c r="H35" s="8">
        <f>B$68</f>
        <v>7000</v>
      </c>
      <c r="I35" s="13">
        <f>B$64+(F35*1)+C35</f>
        <v>32500</v>
      </c>
      <c r="J35" s="9">
        <f t="shared" si="35"/>
        <v>15500</v>
      </c>
      <c r="K35" s="13">
        <f>I35-(H35+G35+D35+B35)</f>
        <v>15500</v>
      </c>
      <c r="L35" s="9">
        <f t="shared" si="36"/>
        <v>5166.666666666667</v>
      </c>
      <c r="M35" s="39">
        <f t="shared" si="37"/>
        <v>1291.6666666666667</v>
      </c>
      <c r="N35" s="30">
        <f t="shared" si="38"/>
        <v>32500</v>
      </c>
      <c r="O35" s="42" t="s">
        <v>24</v>
      </c>
    </row>
    <row r="36" spans="1:15" ht="14.4" x14ac:dyDescent="0.3">
      <c r="A36" s="3" t="s">
        <v>46</v>
      </c>
      <c r="B36" s="46">
        <v>0</v>
      </c>
      <c r="C36" s="20">
        <f t="shared" si="34"/>
        <v>0</v>
      </c>
      <c r="D36" s="1">
        <v>10000</v>
      </c>
      <c r="E36" s="20">
        <f>D36-G36</f>
        <v>10000</v>
      </c>
      <c r="F36" s="20"/>
      <c r="G36" s="24">
        <v>0</v>
      </c>
      <c r="H36" s="8">
        <f>B$68</f>
        <v>7000</v>
      </c>
      <c r="I36" s="13">
        <f>(B$64-B$61)+C36</f>
        <v>25700</v>
      </c>
      <c r="J36" s="9">
        <f t="shared" si="35"/>
        <v>8700</v>
      </c>
      <c r="K36" s="13">
        <f>I36-(H36+G36+D36+B36)</f>
        <v>8700</v>
      </c>
      <c r="L36" s="9">
        <f t="shared" si="36"/>
        <v>2900</v>
      </c>
      <c r="M36" s="39">
        <f t="shared" si="37"/>
        <v>725</v>
      </c>
      <c r="N36" s="30">
        <f t="shared" si="38"/>
        <v>25700</v>
      </c>
      <c r="O36" s="42" t="s">
        <v>24</v>
      </c>
    </row>
    <row r="37" spans="1:15" ht="14.4" x14ac:dyDescent="0.3">
      <c r="A37" s="16"/>
      <c r="B37" s="46"/>
      <c r="C37" s="20"/>
      <c r="D37" s="44"/>
      <c r="E37" s="20"/>
      <c r="F37" s="20"/>
      <c r="G37" s="24"/>
      <c r="H37" s="45"/>
      <c r="I37" s="13"/>
      <c r="J37" s="13"/>
      <c r="K37" s="13"/>
      <c r="L37" s="13"/>
      <c r="M37" s="34"/>
      <c r="N37" s="30"/>
      <c r="O37" s="42"/>
    </row>
    <row r="38" spans="1:15" ht="14.4" x14ac:dyDescent="0.3">
      <c r="A38" s="3" t="s">
        <v>47</v>
      </c>
      <c r="B38" s="46">
        <v>0</v>
      </c>
      <c r="C38" s="20">
        <f t="shared" ref="C38" si="39">B38/3</f>
        <v>0</v>
      </c>
      <c r="D38" s="20">
        <v>0</v>
      </c>
      <c r="E38" s="20"/>
      <c r="F38" s="20"/>
      <c r="G38" s="47">
        <f>$B$61</f>
        <v>6800</v>
      </c>
      <c r="H38" s="8">
        <v>4500</v>
      </c>
      <c r="I38" s="13">
        <f>B$64+(F38*1)+C38</f>
        <v>32500</v>
      </c>
      <c r="J38" s="9">
        <f t="shared" ref="J38:J49" si="40">IF(K38-0&lt;0,0,K38)</f>
        <v>21200</v>
      </c>
      <c r="K38" s="13">
        <f>I38-(H38+G38+D38+B38)</f>
        <v>21200</v>
      </c>
      <c r="L38" s="9">
        <f t="shared" si="3"/>
        <v>7066.666666666667</v>
      </c>
      <c r="M38" s="39">
        <f t="shared" si="5"/>
        <v>1766.6666666666667</v>
      </c>
      <c r="N38" s="30">
        <f t="shared" si="6"/>
        <v>32500</v>
      </c>
      <c r="O38" s="42" t="s">
        <v>16</v>
      </c>
    </row>
    <row r="39" spans="1:15" ht="14.4" x14ac:dyDescent="0.3">
      <c r="A39" s="3" t="s">
        <v>48</v>
      </c>
      <c r="B39" s="46">
        <v>0</v>
      </c>
      <c r="C39" s="20">
        <f t="shared" ref="C39:C40" si="41">B39/3</f>
        <v>0</v>
      </c>
      <c r="D39" s="20">
        <v>0</v>
      </c>
      <c r="E39" s="20"/>
      <c r="F39" s="20"/>
      <c r="G39" s="24">
        <v>0</v>
      </c>
      <c r="H39" s="8">
        <v>4500</v>
      </c>
      <c r="I39" s="13">
        <f>B$64+(F39*1)+C39</f>
        <v>32500</v>
      </c>
      <c r="J39" s="9">
        <f t="shared" ref="J39:J40" si="42">IF(K39-0&lt;0,0,K39)</f>
        <v>28000</v>
      </c>
      <c r="K39" s="13">
        <f>I39-(H39+G39+D39+B39)</f>
        <v>28000</v>
      </c>
      <c r="L39" s="9">
        <f t="shared" ref="L39:L40" si="43">J39/3</f>
        <v>9333.3333333333339</v>
      </c>
      <c r="M39" s="39">
        <f t="shared" ref="M39:M40" si="44">J39/12</f>
        <v>2333.3333333333335</v>
      </c>
      <c r="N39" s="30">
        <f t="shared" ref="N39:N40" si="45">J39+H39+B39+G39+D39</f>
        <v>32500</v>
      </c>
      <c r="O39" s="42"/>
    </row>
    <row r="40" spans="1:15" ht="14.4" x14ac:dyDescent="0.3">
      <c r="A40" s="3" t="s">
        <v>49</v>
      </c>
      <c r="B40" s="46">
        <v>0</v>
      </c>
      <c r="C40" s="20">
        <f t="shared" si="41"/>
        <v>0</v>
      </c>
      <c r="D40" s="20">
        <v>0</v>
      </c>
      <c r="E40" s="20"/>
      <c r="F40" s="20"/>
      <c r="G40" s="24">
        <v>0</v>
      </c>
      <c r="H40" s="8">
        <v>4500</v>
      </c>
      <c r="I40" s="13">
        <f>(B$64-B$61)+C40</f>
        <v>25700</v>
      </c>
      <c r="J40" s="9">
        <f t="shared" si="42"/>
        <v>21200</v>
      </c>
      <c r="K40" s="13">
        <f>I40-(H40+G40+D40+B40)</f>
        <v>21200</v>
      </c>
      <c r="L40" s="9">
        <f t="shared" si="43"/>
        <v>7066.666666666667</v>
      </c>
      <c r="M40" s="39">
        <f t="shared" si="44"/>
        <v>1766.6666666666667</v>
      </c>
      <c r="N40" s="30">
        <f t="shared" si="45"/>
        <v>25700</v>
      </c>
      <c r="O40" s="42"/>
    </row>
    <row r="41" spans="1:15" ht="14.4" x14ac:dyDescent="0.3">
      <c r="A41" s="16"/>
      <c r="B41" s="46"/>
      <c r="C41" s="20"/>
      <c r="D41" s="20"/>
      <c r="E41" s="20"/>
      <c r="F41" s="20"/>
      <c r="G41" s="59"/>
      <c r="H41" s="45"/>
      <c r="I41" s="13"/>
      <c r="J41" s="13"/>
      <c r="K41" s="13"/>
      <c r="L41" s="13"/>
      <c r="M41" s="34"/>
      <c r="N41" s="30"/>
      <c r="O41" s="42"/>
    </row>
    <row r="42" spans="1:15" ht="14.4" x14ac:dyDescent="0.3">
      <c r="A42" s="3" t="s">
        <v>50</v>
      </c>
      <c r="B42" s="48">
        <v>5000</v>
      </c>
      <c r="C42" s="20">
        <f>B42/3</f>
        <v>1666.6666666666667</v>
      </c>
      <c r="D42" s="20">
        <v>0</v>
      </c>
      <c r="E42" s="20"/>
      <c r="F42" s="20"/>
      <c r="G42" s="47">
        <f>$B$61</f>
        <v>6800</v>
      </c>
      <c r="H42" s="8">
        <v>4500</v>
      </c>
      <c r="I42" s="13">
        <f>B$64+(F42*1)+C42</f>
        <v>34166.666666666664</v>
      </c>
      <c r="J42" s="9">
        <f t="shared" ref="J42" si="46">IF(K42-0&lt;0,0,K42)</f>
        <v>17866.666666666664</v>
      </c>
      <c r="K42" s="13">
        <f>I42-(H42+G42+D42+B42)</f>
        <v>17866.666666666664</v>
      </c>
      <c r="L42" s="9">
        <f t="shared" ref="L42" si="47">J42/3</f>
        <v>5955.5555555555547</v>
      </c>
      <c r="M42" s="39">
        <f t="shared" ref="M42" si="48">J42/12</f>
        <v>1488.8888888888887</v>
      </c>
      <c r="N42" s="30">
        <f t="shared" ref="N42" si="49">J42+H42+B42+G42+D42</f>
        <v>34166.666666666664</v>
      </c>
      <c r="O42" s="42" t="s">
        <v>20</v>
      </c>
    </row>
    <row r="43" spans="1:15" ht="14.4" x14ac:dyDescent="0.3">
      <c r="A43" s="3" t="s">
        <v>51</v>
      </c>
      <c r="B43" s="48">
        <v>5000</v>
      </c>
      <c r="C43" s="20">
        <f>B43/3</f>
        <v>1666.6666666666667</v>
      </c>
      <c r="D43" s="20">
        <v>0</v>
      </c>
      <c r="E43" s="20"/>
      <c r="F43" s="20"/>
      <c r="G43" s="24">
        <v>0</v>
      </c>
      <c r="H43" s="8">
        <v>4500</v>
      </c>
      <c r="I43" s="13">
        <f>B$64+(F43*1)+C43</f>
        <v>34166.666666666664</v>
      </c>
      <c r="J43" s="9">
        <f t="shared" ref="J43:J44" si="50">IF(K43-0&lt;0,0,K43)</f>
        <v>24666.666666666664</v>
      </c>
      <c r="K43" s="13">
        <f>I43-(H43+G43+D43+B43)</f>
        <v>24666.666666666664</v>
      </c>
      <c r="L43" s="9">
        <f t="shared" ref="L43:L44" si="51">J43/3</f>
        <v>8222.2222222222208</v>
      </c>
      <c r="M43" s="39">
        <f t="shared" ref="M43:M44" si="52">J43/12</f>
        <v>2055.5555555555552</v>
      </c>
      <c r="N43" s="30">
        <f t="shared" ref="N43:N44" si="53">J43+H43+B43+G43+D43</f>
        <v>34166.666666666664</v>
      </c>
      <c r="O43" s="42" t="s">
        <v>18</v>
      </c>
    </row>
    <row r="44" spans="1:15" ht="14.4" x14ac:dyDescent="0.3">
      <c r="A44" s="3" t="s">
        <v>52</v>
      </c>
      <c r="B44" s="48">
        <v>5000</v>
      </c>
      <c r="C44" s="20">
        <f>B44/3</f>
        <v>1666.6666666666667</v>
      </c>
      <c r="D44" s="20">
        <v>0</v>
      </c>
      <c r="E44" s="20"/>
      <c r="F44" s="20"/>
      <c r="G44" s="24">
        <v>0</v>
      </c>
      <c r="H44" s="8">
        <v>4500</v>
      </c>
      <c r="I44" s="13">
        <f>(B$64-B$61)+C44</f>
        <v>27366.666666666668</v>
      </c>
      <c r="J44" s="9">
        <f t="shared" si="50"/>
        <v>17866.666666666668</v>
      </c>
      <c r="K44" s="13">
        <f>I44-(H44+G44+D44+B44)</f>
        <v>17866.666666666668</v>
      </c>
      <c r="L44" s="9">
        <f t="shared" si="51"/>
        <v>5955.5555555555557</v>
      </c>
      <c r="M44" s="39">
        <f t="shared" si="52"/>
        <v>1488.8888888888889</v>
      </c>
      <c r="N44" s="30">
        <f t="shared" si="53"/>
        <v>27366.666666666668</v>
      </c>
      <c r="O44" s="42" t="s">
        <v>18</v>
      </c>
    </row>
    <row r="45" spans="1:15" ht="14.4" x14ac:dyDescent="0.3">
      <c r="A45" s="16"/>
      <c r="B45" s="46"/>
      <c r="C45" s="20"/>
      <c r="D45" s="20"/>
      <c r="E45" s="20"/>
      <c r="F45" s="20"/>
      <c r="G45" s="59"/>
      <c r="H45" s="45"/>
      <c r="I45" s="13"/>
      <c r="J45" s="13"/>
      <c r="K45" s="13"/>
      <c r="L45" s="13"/>
      <c r="M45" s="34"/>
      <c r="N45" s="30"/>
      <c r="O45" s="42"/>
    </row>
    <row r="46" spans="1:15" ht="14.4" x14ac:dyDescent="0.3">
      <c r="A46" s="3" t="s">
        <v>53</v>
      </c>
      <c r="B46" s="48">
        <v>15000</v>
      </c>
      <c r="C46" s="20">
        <f>B46/3</f>
        <v>5000</v>
      </c>
      <c r="D46" s="20">
        <v>0</v>
      </c>
      <c r="E46" s="20"/>
      <c r="F46" s="20"/>
      <c r="G46" s="24">
        <v>0</v>
      </c>
      <c r="H46" s="8">
        <v>4500</v>
      </c>
      <c r="I46" s="13">
        <f>B$64+(F46*1)+C46</f>
        <v>37500</v>
      </c>
      <c r="J46" s="9">
        <f t="shared" si="40"/>
        <v>18000</v>
      </c>
      <c r="K46" s="13">
        <f>I46-(H46+G46+D46+B46)</f>
        <v>18000</v>
      </c>
      <c r="L46" s="9">
        <f t="shared" si="3"/>
        <v>6000</v>
      </c>
      <c r="M46" s="39">
        <f t="shared" si="5"/>
        <v>1500</v>
      </c>
      <c r="N46" s="30">
        <f t="shared" si="6"/>
        <v>37500</v>
      </c>
      <c r="O46" s="42" t="s">
        <v>18</v>
      </c>
    </row>
    <row r="47" spans="1:15" ht="14.4" x14ac:dyDescent="0.3">
      <c r="A47" s="3" t="s">
        <v>54</v>
      </c>
      <c r="B47" s="48">
        <v>15000</v>
      </c>
      <c r="C47" s="20">
        <f>B47/3</f>
        <v>5000</v>
      </c>
      <c r="D47" s="20">
        <v>0</v>
      </c>
      <c r="E47" s="20"/>
      <c r="F47" s="20">
        <f>IF(G47&lt;=(B$61*0.5),G47,IF(G47&lt;=B$61,(B$61*0.5)+((0.5)*(G47-(B$61*0.5))),IF(G47&gt;B$61,(B$61*0.5)+((0.5)*(B$61-(B$61*0.5))))))</f>
        <v>5100</v>
      </c>
      <c r="G47" s="47">
        <f>$B$61</f>
        <v>6800</v>
      </c>
      <c r="H47" s="8">
        <v>4500</v>
      </c>
      <c r="I47" s="13">
        <f>B$64+(F47*1)+C47</f>
        <v>42600</v>
      </c>
      <c r="J47" s="9">
        <f t="shared" si="40"/>
        <v>16300</v>
      </c>
      <c r="K47" s="13">
        <f>I47-(H47+G47+D47+B47)</f>
        <v>16300</v>
      </c>
      <c r="L47" s="9">
        <f t="shared" si="3"/>
        <v>5433.333333333333</v>
      </c>
      <c r="M47" s="39">
        <f t="shared" si="5"/>
        <v>1358.3333333333333</v>
      </c>
      <c r="N47" s="30">
        <f t="shared" si="6"/>
        <v>42600</v>
      </c>
      <c r="O47" s="42" t="s">
        <v>20</v>
      </c>
    </row>
    <row r="48" spans="1:15" ht="14.4" x14ac:dyDescent="0.3">
      <c r="A48" s="3" t="s">
        <v>55</v>
      </c>
      <c r="B48" s="48">
        <v>30000</v>
      </c>
      <c r="C48" s="20">
        <f>B48/3</f>
        <v>10000</v>
      </c>
      <c r="D48" s="20"/>
      <c r="E48" s="20"/>
      <c r="F48" s="20"/>
      <c r="G48" s="24">
        <v>0</v>
      </c>
      <c r="H48" s="8">
        <v>4500</v>
      </c>
      <c r="I48" s="13">
        <f>B$64+(F48*1)+C48</f>
        <v>42500</v>
      </c>
      <c r="J48" s="9">
        <f t="shared" si="40"/>
        <v>8000</v>
      </c>
      <c r="K48" s="13">
        <f>I48-(H48+G48+D48+B48)</f>
        <v>8000</v>
      </c>
      <c r="L48" s="9">
        <f t="shared" si="3"/>
        <v>2666.6666666666665</v>
      </c>
      <c r="M48" s="39">
        <f t="shared" si="5"/>
        <v>666.66666666666663</v>
      </c>
      <c r="N48" s="30">
        <f t="shared" si="6"/>
        <v>42500</v>
      </c>
      <c r="O48" s="42" t="s">
        <v>18</v>
      </c>
    </row>
    <row r="49" spans="1:15" ht="14.4" x14ac:dyDescent="0.3">
      <c r="A49" s="3" t="s">
        <v>56</v>
      </c>
      <c r="B49" s="48">
        <v>30000</v>
      </c>
      <c r="C49" s="20">
        <f>B49/3</f>
        <v>10000</v>
      </c>
      <c r="D49" s="20"/>
      <c r="E49" s="20"/>
      <c r="F49" s="20">
        <f>IF(G49&lt;=(B$61*0.5),G49,IF(G49&lt;=B$61,(B$61*0.5)+((0.5)*(G49-(B$61*0.5))),IF(G49&gt;B$61,(B$61*0.5)+((0.5)*(B$61-(B$61*0.5))))))</f>
        <v>5100</v>
      </c>
      <c r="G49" s="47">
        <f>$B$61</f>
        <v>6800</v>
      </c>
      <c r="H49" s="8">
        <v>4500</v>
      </c>
      <c r="I49" s="13">
        <f>B$64+(F49*1)+C49</f>
        <v>47600</v>
      </c>
      <c r="J49" s="9">
        <f t="shared" si="40"/>
        <v>6300</v>
      </c>
      <c r="K49" s="13">
        <f>I49-(H49+G49+D49+B49)</f>
        <v>6300</v>
      </c>
      <c r="L49" s="9">
        <f t="shared" si="3"/>
        <v>2100</v>
      </c>
      <c r="M49" s="39">
        <f t="shared" si="5"/>
        <v>525</v>
      </c>
      <c r="N49" s="30">
        <f t="shared" si="6"/>
        <v>47600</v>
      </c>
      <c r="O49" s="42" t="s">
        <v>20</v>
      </c>
    </row>
    <row r="50" spans="1:15" x14ac:dyDescent="0.25">
      <c r="A50" s="16"/>
      <c r="B50" s="49"/>
      <c r="C50" s="21"/>
      <c r="D50" s="14"/>
      <c r="E50" s="21"/>
      <c r="F50" s="21"/>
      <c r="G50" s="50"/>
      <c r="H50" s="18"/>
      <c r="I50" s="14"/>
      <c r="J50" s="14"/>
      <c r="K50" s="14"/>
      <c r="L50" s="14"/>
      <c r="M50" s="36"/>
      <c r="N50" s="16"/>
      <c r="O50" s="3"/>
    </row>
    <row r="51" spans="1:15" ht="14.4" x14ac:dyDescent="0.3">
      <c r="A51" s="3" t="s">
        <v>57</v>
      </c>
      <c r="B51" s="46">
        <v>0</v>
      </c>
      <c r="C51" s="20">
        <f t="shared" ref="C51:C53" si="54">B51/3</f>
        <v>0</v>
      </c>
      <c r="D51" s="1">
        <v>5000</v>
      </c>
      <c r="E51" s="20">
        <f>D51</f>
        <v>5000</v>
      </c>
      <c r="F51" s="20"/>
      <c r="G51" s="47">
        <f>$B$61</f>
        <v>6800</v>
      </c>
      <c r="H51" s="8">
        <v>4500</v>
      </c>
      <c r="I51" s="13">
        <f>B$64+(F51*1)+C51</f>
        <v>32500</v>
      </c>
      <c r="J51" s="9">
        <f t="shared" ref="J51:J53" si="55">IF(K51-0&lt;0,0,K51)</f>
        <v>16200</v>
      </c>
      <c r="K51" s="13">
        <f>I51-(H51+G51+D51+B51)</f>
        <v>16200</v>
      </c>
      <c r="L51" s="9">
        <f t="shared" si="3"/>
        <v>5400</v>
      </c>
      <c r="M51" s="39">
        <f t="shared" si="5"/>
        <v>1350</v>
      </c>
      <c r="N51" s="30">
        <f t="shared" si="6"/>
        <v>32500</v>
      </c>
      <c r="O51" s="42" t="s">
        <v>44</v>
      </c>
    </row>
    <row r="52" spans="1:15" ht="14.4" x14ac:dyDescent="0.3">
      <c r="A52" s="3" t="s">
        <v>58</v>
      </c>
      <c r="B52" s="46">
        <v>0</v>
      </c>
      <c r="C52" s="20">
        <f t="shared" si="54"/>
        <v>0</v>
      </c>
      <c r="D52" s="1">
        <v>5000</v>
      </c>
      <c r="E52" s="20">
        <f>D52-B61</f>
        <v>-1800</v>
      </c>
      <c r="F52" s="20"/>
      <c r="G52" s="24">
        <v>0</v>
      </c>
      <c r="H52" s="8">
        <v>4500</v>
      </c>
      <c r="I52" s="13">
        <f>B$64+(F52*1)+C52</f>
        <v>32500</v>
      </c>
      <c r="J52" s="9">
        <f t="shared" si="55"/>
        <v>23000</v>
      </c>
      <c r="K52" s="13">
        <f>I52-(H52+G52+D52+B52)</f>
        <v>23000</v>
      </c>
      <c r="L52" s="9">
        <f t="shared" si="3"/>
        <v>7666.666666666667</v>
      </c>
      <c r="M52" s="39">
        <f t="shared" si="5"/>
        <v>1916.6666666666667</v>
      </c>
      <c r="N52" s="30">
        <f t="shared" si="6"/>
        <v>32500</v>
      </c>
      <c r="O52" s="42" t="s">
        <v>24</v>
      </c>
    </row>
    <row r="53" spans="1:15" ht="14.4" x14ac:dyDescent="0.3">
      <c r="A53" s="4" t="s">
        <v>59</v>
      </c>
      <c r="B53" s="51">
        <v>0</v>
      </c>
      <c r="C53" s="22">
        <f t="shared" si="54"/>
        <v>0</v>
      </c>
      <c r="D53" s="1">
        <v>5000</v>
      </c>
      <c r="E53" s="22">
        <f>D53-G53</f>
        <v>5000</v>
      </c>
      <c r="F53" s="22"/>
      <c r="G53" s="25">
        <v>0</v>
      </c>
      <c r="H53" s="29">
        <v>4500</v>
      </c>
      <c r="I53" s="13">
        <f>(B$64-B$61)+C53</f>
        <v>25700</v>
      </c>
      <c r="J53" s="10">
        <f t="shared" si="55"/>
        <v>16200</v>
      </c>
      <c r="K53" s="60">
        <f>I53-(H53+G53+D53+B53)</f>
        <v>16200</v>
      </c>
      <c r="L53" s="10">
        <f t="shared" si="3"/>
        <v>5400</v>
      </c>
      <c r="M53" s="40">
        <f t="shared" si="5"/>
        <v>1350</v>
      </c>
      <c r="N53" s="32">
        <f t="shared" si="6"/>
        <v>25700</v>
      </c>
      <c r="O53" s="52" t="s">
        <v>24</v>
      </c>
    </row>
    <row r="54" spans="1:15" x14ac:dyDescent="0.25">
      <c r="A54" s="17"/>
      <c r="B54" s="12"/>
      <c r="C54" s="19"/>
      <c r="D54" s="19"/>
      <c r="E54" s="19"/>
      <c r="F54" s="19"/>
      <c r="G54" s="23"/>
      <c r="H54" s="28"/>
      <c r="I54" s="6"/>
      <c r="J54" s="6"/>
      <c r="K54" s="6"/>
      <c r="L54" s="6"/>
      <c r="M54" s="38"/>
      <c r="N54" s="31"/>
      <c r="O54" s="2"/>
    </row>
    <row r="55" spans="1:15" ht="14.4" x14ac:dyDescent="0.3">
      <c r="A55" s="3" t="s">
        <v>60</v>
      </c>
      <c r="B55" s="1">
        <v>40000</v>
      </c>
      <c r="C55" s="20"/>
      <c r="D55" s="20">
        <v>0</v>
      </c>
      <c r="E55" s="20">
        <v>0</v>
      </c>
      <c r="F55" s="20"/>
      <c r="G55" s="24">
        <v>0</v>
      </c>
      <c r="H55" s="8">
        <v>0</v>
      </c>
      <c r="I55" s="11">
        <f>B$55+H$55*2</f>
        <v>40000</v>
      </c>
      <c r="J55" s="9">
        <f>IF(K55-0&lt;0,0,K55)</f>
        <v>0</v>
      </c>
      <c r="K55" s="9">
        <f>I55-(H55+G55+E55+B55)</f>
        <v>0</v>
      </c>
      <c r="L55" s="9">
        <f t="shared" ref="L55" si="56">J55/3</f>
        <v>0</v>
      </c>
      <c r="M55" s="39">
        <f t="shared" ref="M55:M56" si="57">J55/12</f>
        <v>0</v>
      </c>
      <c r="N55" s="34">
        <f t="shared" si="6"/>
        <v>40000</v>
      </c>
      <c r="O55" s="42" t="s">
        <v>18</v>
      </c>
    </row>
    <row r="56" spans="1:15" ht="14.4" x14ac:dyDescent="0.3">
      <c r="A56" s="3" t="s">
        <v>61</v>
      </c>
      <c r="B56" s="1">
        <v>40000</v>
      </c>
      <c r="C56" s="20"/>
      <c r="D56" s="20">
        <v>0</v>
      </c>
      <c r="E56" s="20">
        <v>0</v>
      </c>
      <c r="F56" s="20">
        <f>IF(G56&lt;=(B$61*0.5),G56,IF(G56&lt;=B$61,(B$61*0.5)+((0.5)*(G56-(B$61*0.5))),IF(G56&gt;B$61,(B$61*0.5)+((0.5)*(B$61-(B$61*0.5))))))</f>
        <v>5100</v>
      </c>
      <c r="G56" s="47">
        <f>$B$61</f>
        <v>6800</v>
      </c>
      <c r="H56" s="8">
        <v>0</v>
      </c>
      <c r="I56" s="11">
        <f>B$56+H$56+F56</f>
        <v>45100</v>
      </c>
      <c r="J56" s="9">
        <v>0</v>
      </c>
      <c r="K56" s="9">
        <v>0</v>
      </c>
      <c r="L56" s="9">
        <v>0</v>
      </c>
      <c r="M56" s="39">
        <f t="shared" si="57"/>
        <v>0</v>
      </c>
      <c r="N56" s="34">
        <f>J56+H56+B56+F56+D56</f>
        <v>45100</v>
      </c>
      <c r="O56" s="42" t="s">
        <v>62</v>
      </c>
    </row>
    <row r="57" spans="1:15" x14ac:dyDescent="0.25">
      <c r="A57" s="16"/>
      <c r="B57" s="13"/>
      <c r="C57" s="20"/>
      <c r="D57" s="20"/>
      <c r="E57" s="20"/>
      <c r="F57" s="20"/>
      <c r="G57" s="24"/>
      <c r="H57" s="8"/>
      <c r="I57" s="7"/>
      <c r="J57" s="7"/>
      <c r="K57" s="7"/>
      <c r="L57" s="7"/>
      <c r="M57" s="43"/>
      <c r="N57" s="30"/>
      <c r="O57" s="3"/>
    </row>
    <row r="58" spans="1:15" ht="14.4" x14ac:dyDescent="0.3">
      <c r="A58" s="3" t="s">
        <v>63</v>
      </c>
      <c r="B58" s="9">
        <v>50000</v>
      </c>
      <c r="C58" s="20"/>
      <c r="D58" s="20">
        <v>0</v>
      </c>
      <c r="E58" s="20"/>
      <c r="F58" s="20"/>
      <c r="G58" s="24">
        <v>0</v>
      </c>
      <c r="H58" s="8">
        <v>0</v>
      </c>
      <c r="I58" s="9">
        <f>B58</f>
        <v>50000</v>
      </c>
      <c r="J58" s="9">
        <v>0</v>
      </c>
      <c r="K58" s="9">
        <f>I58-(H58+G58+D58+B58)</f>
        <v>0</v>
      </c>
      <c r="L58" s="9">
        <f>K58/3</f>
        <v>0</v>
      </c>
      <c r="M58" s="39">
        <f>K58/12</f>
        <v>0</v>
      </c>
      <c r="N58" s="30">
        <v>50000</v>
      </c>
      <c r="O58" s="42" t="s">
        <v>18</v>
      </c>
    </row>
    <row r="59" spans="1:15" ht="14.4" x14ac:dyDescent="0.3">
      <c r="A59" s="4" t="s">
        <v>64</v>
      </c>
      <c r="B59" s="10">
        <v>60000</v>
      </c>
      <c r="C59" s="22"/>
      <c r="D59" s="22">
        <v>0</v>
      </c>
      <c r="E59" s="22"/>
      <c r="F59" s="22"/>
      <c r="G59" s="25">
        <v>0</v>
      </c>
      <c r="H59" s="29">
        <v>0</v>
      </c>
      <c r="I59" s="10">
        <f>B59</f>
        <v>60000</v>
      </c>
      <c r="J59" s="10">
        <v>0</v>
      </c>
      <c r="K59" s="10">
        <f>I59-(H59+G59+D59+B59)</f>
        <v>0</v>
      </c>
      <c r="L59" s="10">
        <f>K59/3</f>
        <v>0</v>
      </c>
      <c r="M59" s="40">
        <f>K59/12</f>
        <v>0</v>
      </c>
      <c r="N59" s="32">
        <v>60000</v>
      </c>
      <c r="O59" s="42" t="s">
        <v>18</v>
      </c>
    </row>
    <row r="61" spans="1:15" ht="14.4" thickBot="1" x14ac:dyDescent="0.3">
      <c r="A61" s="26" t="s">
        <v>65</v>
      </c>
      <c r="B61" s="41">
        <v>6800</v>
      </c>
    </row>
    <row r="62" spans="1:15" ht="14.4" thickBot="1" x14ac:dyDescent="0.3">
      <c r="A62" s="26" t="s">
        <v>66</v>
      </c>
      <c r="B62" s="41">
        <v>21500</v>
      </c>
    </row>
    <row r="63" spans="1:15" ht="14.4" thickBot="1" x14ac:dyDescent="0.3">
      <c r="A63" s="26" t="s">
        <v>67</v>
      </c>
      <c r="B63" s="41">
        <v>35000</v>
      </c>
    </row>
    <row r="64" spans="1:15" ht="14.4" thickBot="1" x14ac:dyDescent="0.3">
      <c r="A64" s="26" t="s">
        <v>68</v>
      </c>
      <c r="B64" s="41">
        <v>32500</v>
      </c>
    </row>
    <row r="65" spans="1:14" ht="14.4" thickBot="1" x14ac:dyDescent="0.3">
      <c r="A65" s="26"/>
      <c r="B65" s="27"/>
    </row>
    <row r="66" spans="1:14" ht="14.4" thickBot="1" x14ac:dyDescent="0.3">
      <c r="A66" s="26" t="s">
        <v>69</v>
      </c>
      <c r="B66" s="41">
        <v>3000</v>
      </c>
    </row>
    <row r="67" spans="1:14" ht="14.4" thickBot="1" x14ac:dyDescent="0.3">
      <c r="A67" s="26" t="s">
        <v>70</v>
      </c>
      <c r="B67" s="41">
        <v>10800</v>
      </c>
    </row>
    <row r="68" spans="1:14" ht="14.4" thickBot="1" x14ac:dyDescent="0.3">
      <c r="A68" s="26" t="s">
        <v>71</v>
      </c>
      <c r="B68" s="41">
        <v>7000</v>
      </c>
    </row>
    <row r="70" spans="1:14" x14ac:dyDescent="0.25">
      <c r="A70" s="71" t="s">
        <v>72</v>
      </c>
      <c r="B70" s="71"/>
      <c r="C70" s="71"/>
      <c r="D70" s="71"/>
      <c r="E70" s="71"/>
      <c r="F70" s="71"/>
      <c r="G70" s="71"/>
      <c r="H70" s="71"/>
    </row>
    <row r="71" spans="1:14" ht="48" customHeight="1" x14ac:dyDescent="0.25">
      <c r="A71" s="69" t="s">
        <v>73</v>
      </c>
      <c r="B71" s="72"/>
      <c r="C71" s="72"/>
      <c r="D71" s="72"/>
      <c r="E71" s="72"/>
      <c r="F71" s="72"/>
      <c r="G71" s="72"/>
      <c r="H71" s="72"/>
      <c r="I71" s="72"/>
      <c r="J71" s="72"/>
      <c r="K71" s="72"/>
      <c r="L71" s="72"/>
      <c r="M71" s="5"/>
      <c r="N71" s="5"/>
    </row>
    <row r="72" spans="1:14" ht="37.5" customHeight="1" x14ac:dyDescent="0.25">
      <c r="A72" s="69" t="s">
        <v>74</v>
      </c>
      <c r="B72" s="72"/>
      <c r="C72" s="72"/>
      <c r="D72" s="72"/>
      <c r="E72" s="72"/>
      <c r="F72" s="72"/>
      <c r="G72" s="72"/>
      <c r="H72" s="72"/>
      <c r="I72" s="72"/>
      <c r="J72" s="72"/>
      <c r="K72" s="72"/>
      <c r="L72" s="72"/>
    </row>
    <row r="73" spans="1:14" ht="36.75" customHeight="1" x14ac:dyDescent="0.25">
      <c r="A73" s="72" t="s">
        <v>75</v>
      </c>
      <c r="B73" s="72"/>
      <c r="C73" s="72"/>
      <c r="D73" s="72"/>
      <c r="E73" s="72"/>
      <c r="F73" s="72"/>
      <c r="G73" s="72"/>
      <c r="H73" s="72"/>
      <c r="I73" s="72"/>
      <c r="J73" s="72"/>
      <c r="K73" s="72"/>
      <c r="L73" s="72"/>
    </row>
    <row r="74" spans="1:14" ht="39.75" customHeight="1" x14ac:dyDescent="0.25">
      <c r="A74" s="69" t="s">
        <v>76</v>
      </c>
      <c r="B74" s="72"/>
      <c r="C74" s="72"/>
      <c r="D74" s="72"/>
      <c r="E74" s="72"/>
      <c r="F74" s="72"/>
      <c r="G74" s="72"/>
      <c r="H74" s="72"/>
      <c r="I74" s="72"/>
      <c r="J74" s="72"/>
      <c r="K74" s="72"/>
      <c r="L74" s="72"/>
    </row>
    <row r="75" spans="1:14" ht="42.75" customHeight="1" x14ac:dyDescent="0.25">
      <c r="A75" s="72" t="s">
        <v>77</v>
      </c>
      <c r="B75" s="72"/>
      <c r="C75" s="72"/>
      <c r="D75" s="72"/>
      <c r="E75" s="72"/>
      <c r="F75" s="72"/>
      <c r="G75" s="72"/>
      <c r="H75" s="72"/>
      <c r="I75" s="72"/>
      <c r="J75" s="72"/>
      <c r="K75" s="72"/>
      <c r="L75" s="72"/>
    </row>
    <row r="76" spans="1:14" ht="23.25" customHeight="1" x14ac:dyDescent="0.25">
      <c r="A76" s="72" t="s">
        <v>78</v>
      </c>
      <c r="B76" s="72"/>
      <c r="C76" s="72"/>
      <c r="D76" s="72"/>
      <c r="E76" s="72"/>
      <c r="F76" s="72"/>
      <c r="G76" s="72"/>
      <c r="H76" s="72"/>
      <c r="I76" s="72"/>
      <c r="J76" s="72"/>
      <c r="K76" s="72"/>
      <c r="L76" s="72"/>
    </row>
    <row r="77" spans="1:14" ht="41.25" customHeight="1" x14ac:dyDescent="0.25">
      <c r="A77" s="69" t="s">
        <v>79</v>
      </c>
      <c r="B77" s="68"/>
      <c r="C77" s="68"/>
      <c r="D77" s="68"/>
      <c r="E77" s="68"/>
      <c r="F77" s="68"/>
      <c r="G77" s="68"/>
      <c r="H77" s="68"/>
      <c r="I77" s="68"/>
      <c r="J77" s="68"/>
      <c r="K77" s="68"/>
      <c r="L77" s="68"/>
    </row>
    <row r="78" spans="1:14" ht="41.25" customHeight="1" x14ac:dyDescent="0.25">
      <c r="A78" s="68" t="s">
        <v>80</v>
      </c>
      <c r="B78" s="68"/>
      <c r="C78" s="68"/>
      <c r="D78" s="68"/>
      <c r="E78" s="68"/>
      <c r="F78" s="68"/>
      <c r="G78" s="68"/>
      <c r="H78" s="68"/>
      <c r="I78" s="68"/>
      <c r="J78" s="68"/>
      <c r="K78" s="68"/>
      <c r="L78" s="68"/>
    </row>
    <row r="80" spans="1:14" ht="28.5" customHeight="1" x14ac:dyDescent="0.25">
      <c r="A80" s="70" t="s">
        <v>81</v>
      </c>
      <c r="B80" s="70"/>
      <c r="C80" s="70"/>
      <c r="D80" s="70"/>
      <c r="E80" s="70"/>
      <c r="F80" s="70"/>
      <c r="G80" s="70"/>
      <c r="H80" s="70"/>
    </row>
    <row r="81" spans="1:8" x14ac:dyDescent="0.25">
      <c r="A81" s="68" t="s">
        <v>82</v>
      </c>
      <c r="B81" s="68"/>
      <c r="C81" s="68"/>
      <c r="D81" s="68"/>
      <c r="E81" s="68"/>
      <c r="F81" s="68"/>
      <c r="G81" s="68"/>
      <c r="H81" s="68"/>
    </row>
  </sheetData>
  <sheetProtection algorithmName="SHA-512" hashValue="WoaaQ0zIUn89Ds+lDP8UV8hvBiEADqOebROq7+mWEytU0qmVAps625LhcyHKGQfJm/S+xSrSDX/77/ui2D2IJA==" saltValue="NuhzUXXWzTpNOUGbUtFY5w==" spinCount="100000" sheet="1" objects="1" scenarios="1" selectLockedCells="1"/>
  <protectedRanges>
    <protectedRange sqref="B1:B100" name="Range1"/>
    <protectedRange sqref="D1:D100" name="Range2"/>
    <protectedRange sqref="G1:G100" name="Range3"/>
  </protectedRanges>
  <mergeCells count="11">
    <mergeCell ref="A78:L78"/>
    <mergeCell ref="A77:L77"/>
    <mergeCell ref="A80:H80"/>
    <mergeCell ref="A81:H81"/>
    <mergeCell ref="A70:H70"/>
    <mergeCell ref="A71:L71"/>
    <mergeCell ref="A72:L72"/>
    <mergeCell ref="A73:L73"/>
    <mergeCell ref="A74:L74"/>
    <mergeCell ref="A75:L75"/>
    <mergeCell ref="A76:L76"/>
  </mergeCell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Funding Calculator FALL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Zia A. Khan</dc:creator>
  <cp:keywords/>
  <dc:description/>
  <cp:lastModifiedBy>Tracey Koning</cp:lastModifiedBy>
  <cp:revision/>
  <dcterms:created xsi:type="dcterms:W3CDTF">2021-08-17T19:34:01Z</dcterms:created>
  <dcterms:modified xsi:type="dcterms:W3CDTF">2024-06-20T12:55:09Z</dcterms:modified>
  <cp:category/>
  <cp:contentStatus/>
</cp:coreProperties>
</file>